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85" activeTab="0"/>
  </bookViews>
  <sheets>
    <sheet name="Schedule" sheetId="1" r:id="rId1"/>
  </sheets>
  <definedNames>
    <definedName name="_xlnm._FilterDatabase" localSheetId="0" hidden="1">'Schedule'!$P$2:$S$62</definedName>
    <definedName name="BOATCLASS">'Schedule'!$AK$3:$AM$8</definedName>
    <definedName name="_xlnm.Print_Area" localSheetId="0">'Schedule'!$A$1:$AB$69</definedName>
  </definedNames>
  <calcPr fullCalcOnLoad="1"/>
</workbook>
</file>

<file path=xl/comments1.xml><?xml version="1.0" encoding="utf-8"?>
<comments xmlns="http://schemas.openxmlformats.org/spreadsheetml/2006/main">
  <authors>
    <author>Carl Popolo</author>
    <author>cpopolo</author>
  </authors>
  <commentList>
    <comment ref="K23" authorId="0">
      <text>
        <r>
          <rPr>
            <b/>
            <sz val="8"/>
            <rFont val="Tahoma"/>
            <family val="0"/>
          </rPr>
          <t>Carl Popolo:</t>
        </r>
        <r>
          <rPr>
            <sz val="8"/>
            <rFont val="Tahoma"/>
            <family val="0"/>
          </rPr>
          <t xml:space="preserve">
Keep 90' from 36</t>
        </r>
      </text>
    </comment>
    <comment ref="K14" authorId="0">
      <text>
        <r>
          <rPr>
            <b/>
            <sz val="8"/>
            <rFont val="Tahoma"/>
            <family val="0"/>
          </rPr>
          <t>Carl Popolo:</t>
        </r>
        <r>
          <rPr>
            <sz val="8"/>
            <rFont val="Tahoma"/>
            <family val="0"/>
          </rPr>
          <t xml:space="preserve">
Swap with W4X; watch buffer on 10.</t>
        </r>
      </text>
    </comment>
    <comment ref="K38" authorId="1">
      <text>
        <r>
          <rPr>
            <b/>
            <sz val="8"/>
            <rFont val="Tahoma"/>
            <family val="0"/>
          </rPr>
          <t>cpopolo:</t>
        </r>
        <r>
          <rPr>
            <sz val="8"/>
            <rFont val="Tahoma"/>
            <family val="0"/>
          </rPr>
          <t xml:space="preserve">
Keep 90' from 44</t>
        </r>
      </text>
    </comment>
    <comment ref="K25" authorId="0">
      <text>
        <r>
          <rPr>
            <b/>
            <sz val="8"/>
            <rFont val="Tahoma"/>
            <family val="0"/>
          </rPr>
          <t>Carl Popolo:</t>
        </r>
        <r>
          <rPr>
            <sz val="8"/>
            <rFont val="Tahoma"/>
            <family val="0"/>
          </rPr>
          <t xml:space="preserve">
Min 15' from end of start load in 22</t>
        </r>
      </text>
    </comment>
    <comment ref="K37" authorId="0">
      <text>
        <r>
          <rPr>
            <b/>
            <sz val="8"/>
            <rFont val="Tahoma"/>
            <family val="0"/>
          </rPr>
          <t>Carl Popolo:</t>
        </r>
        <r>
          <rPr>
            <sz val="8"/>
            <rFont val="Tahoma"/>
            <family val="0"/>
          </rPr>
          <t xml:space="preserve">
Fix in 2011 for alum age problem</t>
        </r>
      </text>
    </comment>
  </commentList>
</comments>
</file>

<file path=xl/sharedStrings.xml><?xml version="1.0" encoding="utf-8"?>
<sst xmlns="http://schemas.openxmlformats.org/spreadsheetml/2006/main" count="432" uniqueCount="235">
  <si>
    <t>Age</t>
  </si>
  <si>
    <t>HS</t>
  </si>
  <si>
    <t>Nov</t>
  </si>
  <si>
    <t>O</t>
  </si>
  <si>
    <t>Sex</t>
  </si>
  <si>
    <t>M</t>
  </si>
  <si>
    <t>W</t>
  </si>
  <si>
    <t>Master</t>
  </si>
  <si>
    <t>Mixed</t>
  </si>
  <si>
    <t>Mixed 2x</t>
  </si>
  <si>
    <t>Mixed 4x</t>
  </si>
  <si>
    <t>Description</t>
  </si>
  <si>
    <t>Jr</t>
  </si>
  <si>
    <t>Club</t>
  </si>
  <si>
    <t>RC Event</t>
  </si>
  <si>
    <t>Mixed 8+</t>
  </si>
  <si>
    <t>LUNCH</t>
  </si>
  <si>
    <t>2007 PHT EVENT NUMBER</t>
  </si>
  <si>
    <t>AM Boats</t>
  </si>
  <si>
    <t>AM Athletes</t>
  </si>
  <si>
    <t>Total Events</t>
  </si>
  <si>
    <t>M Masters 1x</t>
  </si>
  <si>
    <t>M Senior Master 1x</t>
  </si>
  <si>
    <t>M Grand Master 1x</t>
  </si>
  <si>
    <t>M Veteran 1x</t>
  </si>
  <si>
    <t>M Novice 4+</t>
  </si>
  <si>
    <t>M Junior 4+</t>
  </si>
  <si>
    <t>M Open 1x</t>
  </si>
  <si>
    <t>M Ltwt 1x</t>
  </si>
  <si>
    <t>M Club 1x</t>
  </si>
  <si>
    <t>M Novice 1x</t>
  </si>
  <si>
    <t>M Ltwt 4+</t>
  </si>
  <si>
    <t>M Open 4+</t>
  </si>
  <si>
    <t>M Club 8+</t>
  </si>
  <si>
    <t>M Novice 8+</t>
  </si>
  <si>
    <t xml:space="preserve">M Junior 8+ </t>
  </si>
  <si>
    <t>M 4x</t>
  </si>
  <si>
    <t>M Ltwt 8+</t>
  </si>
  <si>
    <t>M Open 2x</t>
  </si>
  <si>
    <t>M Master 2x</t>
  </si>
  <si>
    <t>M Club 2x</t>
  </si>
  <si>
    <t>M 2-</t>
  </si>
  <si>
    <t>M Open 8+</t>
  </si>
  <si>
    <t>W Master 1x</t>
  </si>
  <si>
    <t>W Senior Master 1x</t>
  </si>
  <si>
    <t>W Grand Master 1x</t>
  </si>
  <si>
    <t>W Veterans 1x</t>
  </si>
  <si>
    <t>W 4x</t>
  </si>
  <si>
    <t>W Novice 4+</t>
  </si>
  <si>
    <t>W Open 2x</t>
  </si>
  <si>
    <t>W Master 2x</t>
  </si>
  <si>
    <t>W Open 1x</t>
  </si>
  <si>
    <t>W Novice 8+</t>
  </si>
  <si>
    <t>W 2-</t>
  </si>
  <si>
    <t>W Open 4+</t>
  </si>
  <si>
    <t>W Open 8+</t>
  </si>
  <si>
    <t>M Masters 4+</t>
  </si>
  <si>
    <t>W Masters 4+</t>
  </si>
  <si>
    <t>M Masters 8+</t>
  </si>
  <si>
    <t>W Masters 8+</t>
  </si>
  <si>
    <t>08Prop</t>
  </si>
  <si>
    <t>W Junior 4+ (HS)</t>
  </si>
  <si>
    <t>W Junior 8+ (HS)</t>
  </si>
  <si>
    <t>W Club 2x **</t>
  </si>
  <si>
    <t>W Ltwt 1x **</t>
  </si>
  <si>
    <t>W Club 1x **</t>
  </si>
  <si>
    <t>W Novice 1x  **</t>
  </si>
  <si>
    <t>W Club 8+  **</t>
  </si>
  <si>
    <t>W Ltwt 4+  **</t>
  </si>
  <si>
    <t>FIRST CALL</t>
  </si>
  <si>
    <t>FINAL CALL</t>
  </si>
  <si>
    <t>START TIME</t>
  </si>
  <si>
    <t>Boat Class</t>
  </si>
  <si>
    <t>Wgt</t>
  </si>
  <si>
    <t>Ltwt</t>
  </si>
  <si>
    <t>4x</t>
  </si>
  <si>
    <t>2x</t>
  </si>
  <si>
    <t>W Junior Novice 8+</t>
  </si>
  <si>
    <t>W Ltwt 8+</t>
  </si>
  <si>
    <t>W Junior Ltwt 8+ (HS)</t>
  </si>
  <si>
    <t>CountOfBoat ID</t>
  </si>
  <si>
    <t>PM Athletes</t>
  </si>
  <si>
    <t>PM Boats</t>
  </si>
  <si>
    <t>Scratched</t>
  </si>
  <si>
    <t>RC #</t>
  </si>
  <si>
    <t>ETA Return to docks</t>
  </si>
  <si>
    <t>Dock Throughput
Athletes/Hour</t>
  </si>
  <si>
    <t>RC Counts</t>
  </si>
  <si>
    <t>2009 PHT EVENT NUMBER</t>
  </si>
  <si>
    <t>Alumni/Masters Mixed 8+</t>
  </si>
  <si>
    <t>Y</t>
  </si>
  <si>
    <t>HC</t>
  </si>
  <si>
    <t>W Junior Ltwt 4+ (HS)</t>
  </si>
  <si>
    <t>BBoatOffset</t>
  </si>
  <si>
    <t>Class</t>
  </si>
  <si>
    <t>CY
 #boats</t>
  </si>
  <si>
    <t>PY
#Boats</t>
  </si>
  <si>
    <t>Required
Big Event Min Offset</t>
  </si>
  <si>
    <t>CY
Event
OFFSET</t>
  </si>
  <si>
    <t>2010 Textile River Regatta</t>
  </si>
  <si>
    <t>2009 Athletes</t>
  </si>
  <si>
    <t>CUME
2009 ATHLETES</t>
  </si>
  <si>
    <t>CUME
2009 BOATS</t>
  </si>
  <si>
    <t>2009 BOATS</t>
  </si>
  <si>
    <t>M Rec Boat 1x</t>
  </si>
  <si>
    <t>W Rec Boat 1x</t>
  </si>
  <si>
    <t>M Junior Novice 8+</t>
  </si>
  <si>
    <t>#Athletes</t>
  </si>
  <si>
    <t>1x</t>
  </si>
  <si>
    <t>2-</t>
  </si>
  <si>
    <t>8+</t>
  </si>
  <si>
    <t>4+</t>
  </si>
  <si>
    <t>CY cume #boats</t>
  </si>
  <si>
    <t>CY #athl</t>
  </si>
  <si>
    <t>CY cume #athl</t>
  </si>
  <si>
    <t xml:space="preserve">1  </t>
  </si>
  <si>
    <t xml:space="preserve">Mens Masters 1x   </t>
  </si>
  <si>
    <t xml:space="preserve">2  </t>
  </si>
  <si>
    <t xml:space="preserve">Mens Senior Masters 1x   </t>
  </si>
  <si>
    <t xml:space="preserve">3  </t>
  </si>
  <si>
    <t xml:space="preserve">Mens Grand Masters 1x   </t>
  </si>
  <si>
    <t xml:space="preserve">4  </t>
  </si>
  <si>
    <t xml:space="preserve">Mens Veteran 1x   </t>
  </si>
  <si>
    <t xml:space="preserve">5  </t>
  </si>
  <si>
    <t xml:space="preserve">Womens Masters 1x   </t>
  </si>
  <si>
    <t xml:space="preserve">6  </t>
  </si>
  <si>
    <t xml:space="preserve">Womens Senior Masters 1x   </t>
  </si>
  <si>
    <t xml:space="preserve">7  </t>
  </si>
  <si>
    <t xml:space="preserve">Womens Grand Masters 1x   </t>
  </si>
  <si>
    <t xml:space="preserve">8  </t>
  </si>
  <si>
    <t xml:space="preserve">Womens Veteran 1x   </t>
  </si>
  <si>
    <t xml:space="preserve">9  </t>
  </si>
  <si>
    <t xml:space="preserve">Mens Rec 1x   </t>
  </si>
  <si>
    <t xml:space="preserve">10  </t>
  </si>
  <si>
    <t xml:space="preserve">Womens Rec 1x   </t>
  </si>
  <si>
    <t xml:space="preserve">11  </t>
  </si>
  <si>
    <t xml:space="preserve">12  </t>
  </si>
  <si>
    <t xml:space="preserve">Mens Masters 8+   </t>
  </si>
  <si>
    <t xml:space="preserve">13  </t>
  </si>
  <si>
    <t xml:space="preserve">Womens Masters 8+   </t>
  </si>
  <si>
    <t xml:space="preserve">14  </t>
  </si>
  <si>
    <t xml:space="preserve">Mens Novice 8+   </t>
  </si>
  <si>
    <t xml:space="preserve">15  </t>
  </si>
  <si>
    <t xml:space="preserve">Mens Novice 4+   </t>
  </si>
  <si>
    <t xml:space="preserve">16  </t>
  </si>
  <si>
    <t xml:space="preserve">Mens Jr 4+   </t>
  </si>
  <si>
    <t xml:space="preserve">17  </t>
  </si>
  <si>
    <t xml:space="preserve">Womens Open 2x   </t>
  </si>
  <si>
    <t xml:space="preserve">18  </t>
  </si>
  <si>
    <t xml:space="preserve">Womens Masters 2x   </t>
  </si>
  <si>
    <t xml:space="preserve">19  </t>
  </si>
  <si>
    <t xml:space="preserve">Womens Club 2x   </t>
  </si>
  <si>
    <t xml:space="preserve">20  </t>
  </si>
  <si>
    <t xml:space="preserve">Mens Open 1x   </t>
  </si>
  <si>
    <t xml:space="preserve">21  </t>
  </si>
  <si>
    <t xml:space="preserve">Mens Ltwt 1x   </t>
  </si>
  <si>
    <t xml:space="preserve">22  </t>
  </si>
  <si>
    <t xml:space="preserve">Mens Club 1x   </t>
  </si>
  <si>
    <t xml:space="preserve">23  </t>
  </si>
  <si>
    <t xml:space="preserve">Mens Novice 1x   </t>
  </si>
  <si>
    <t xml:space="preserve">24  </t>
  </si>
  <si>
    <t xml:space="preserve">Womens Novice 4+   </t>
  </si>
  <si>
    <t xml:space="preserve">25  </t>
  </si>
  <si>
    <t xml:space="preserve">Womens Jr 4+ (HS only)   </t>
  </si>
  <si>
    <t xml:space="preserve">26  </t>
  </si>
  <si>
    <t xml:space="preserve">Mixed 2x   </t>
  </si>
  <si>
    <t xml:space="preserve">27  </t>
  </si>
  <si>
    <t xml:space="preserve">Mens 4x   </t>
  </si>
  <si>
    <t xml:space="preserve">28  </t>
  </si>
  <si>
    <t xml:space="preserve">Mens Club 8+   </t>
  </si>
  <si>
    <t xml:space="preserve">29  </t>
  </si>
  <si>
    <t xml:space="preserve">Womens Club 8+   </t>
  </si>
  <si>
    <t xml:space="preserve">30  </t>
  </si>
  <si>
    <t xml:space="preserve">31  </t>
  </si>
  <si>
    <t xml:space="preserve">Mens Masters 4+   </t>
  </si>
  <si>
    <t xml:space="preserve">Womens Masters 4+   </t>
  </si>
  <si>
    <t xml:space="preserve">33  </t>
  </si>
  <si>
    <t xml:space="preserve">Mixed Masters 8+   </t>
  </si>
  <si>
    <t xml:space="preserve">47  </t>
  </si>
  <si>
    <t xml:space="preserve">Mens Jr Novice 8+   </t>
  </si>
  <si>
    <t xml:space="preserve">34  </t>
  </si>
  <si>
    <t xml:space="preserve">35  </t>
  </si>
  <si>
    <t xml:space="preserve">Womens Ltwt 1x   </t>
  </si>
  <si>
    <t xml:space="preserve">36  </t>
  </si>
  <si>
    <t xml:space="preserve">Womens Club 1x   </t>
  </si>
  <si>
    <t xml:space="preserve">Womens Novice 1x   </t>
  </si>
  <si>
    <t xml:space="preserve">38  </t>
  </si>
  <si>
    <t xml:space="preserve">Mens Ltwt 4+   </t>
  </si>
  <si>
    <t xml:space="preserve">41  </t>
  </si>
  <si>
    <t xml:space="preserve">Mens Open 4+   </t>
  </si>
  <si>
    <t xml:space="preserve">39  </t>
  </si>
  <si>
    <t xml:space="preserve">Womens Junior Ltwt 4+   </t>
  </si>
  <si>
    <t xml:space="preserve">40  </t>
  </si>
  <si>
    <t xml:space="preserve">Womens Ltwt 4+   </t>
  </si>
  <si>
    <t xml:space="preserve">42  </t>
  </si>
  <si>
    <t xml:space="preserve">Womens Open 4+   </t>
  </si>
  <si>
    <t xml:space="preserve">43  </t>
  </si>
  <si>
    <t xml:space="preserve">Mens Jr 8+   </t>
  </si>
  <si>
    <t xml:space="preserve">44  </t>
  </si>
  <si>
    <t xml:space="preserve">Womens Novice 8+   </t>
  </si>
  <si>
    <t xml:space="preserve">45  </t>
  </si>
  <si>
    <t xml:space="preserve">Womens Jr Novice 8+   </t>
  </si>
  <si>
    <t xml:space="preserve">46  </t>
  </si>
  <si>
    <t xml:space="preserve">Womens Jr 8+ (HS only)   </t>
  </si>
  <si>
    <t xml:space="preserve">48  </t>
  </si>
  <si>
    <t xml:space="preserve">Mixed 4x   </t>
  </si>
  <si>
    <t xml:space="preserve">49  </t>
  </si>
  <si>
    <t xml:space="preserve">50  </t>
  </si>
  <si>
    <t xml:space="preserve">Womens 2-   </t>
  </si>
  <si>
    <t xml:space="preserve">56  </t>
  </si>
  <si>
    <t xml:space="preserve">Womens Junior Ltwt 8+   </t>
  </si>
  <si>
    <t xml:space="preserve">Mens Open 2x   </t>
  </si>
  <si>
    <t xml:space="preserve">53  </t>
  </si>
  <si>
    <t xml:space="preserve">Mens Masters 2x   </t>
  </si>
  <si>
    <t xml:space="preserve">54  </t>
  </si>
  <si>
    <t xml:space="preserve">Mens Club 2x   </t>
  </si>
  <si>
    <t xml:space="preserve">55  </t>
  </si>
  <si>
    <t xml:space="preserve">Mens 2-   </t>
  </si>
  <si>
    <t xml:space="preserve">57  </t>
  </si>
  <si>
    <t xml:space="preserve">Mens Open 8+   </t>
  </si>
  <si>
    <t xml:space="preserve">58  </t>
  </si>
  <si>
    <t xml:space="preserve">Womens Open 8+   </t>
  </si>
  <si>
    <t xml:space="preserve">Womens Jr 4x   </t>
  </si>
  <si>
    <t xml:space="preserve">Womens Collegiate/Open 4x   </t>
  </si>
  <si>
    <t xml:space="preserve">59  </t>
  </si>
  <si>
    <t>W Junior 4x (HS)</t>
  </si>
  <si>
    <t>Boat Count (CY)</t>
  </si>
  <si>
    <t>Body Count (CY)</t>
  </si>
  <si>
    <t>Boat Count (PY)</t>
  </si>
  <si>
    <t>Body Count (PY)</t>
  </si>
  <si>
    <t>SCR</t>
  </si>
  <si>
    <t>CP/PHT Event</t>
  </si>
  <si>
    <t>VERSION 4.1</t>
  </si>
  <si>
    <t>Start dur @ 20" each, min</t>
  </si>
  <si>
    <t>CY = Current Year registrations from RC as of 29-Sep 06:00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</si>
</sst>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h:mm:ss\ AM/PM"/>
    <numFmt numFmtId="168" formatCode="[$-409]h:mm\ AM/PM;@"/>
    <numFmt numFmtId="169" formatCode="[$-409]h:mm\ a/p;@"/>
    <numFmt numFmtId="170" formatCode="h:mm\ a/p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[$-F400]h:mm:ss\ AM/PM"/>
    <numFmt numFmtId="176" formatCode="[$€-2]\ #,##0.00_);[Red]\([$€-2]\ #,##0.00\)"/>
    <numFmt numFmtId="177" formatCode="0.0%"/>
    <numFmt numFmtId="178" formatCode="\+0.0%;\(0.0%\);\-"/>
    <numFmt numFmtId="179" formatCode="h:mm;@"/>
    <numFmt numFmtId="180" formatCode="00000"/>
    <numFmt numFmtId="181" formatCode="hh:mm;\(\-hh:mm\)"/>
    <numFmt numFmtId="182" formatCode="yyyy\-mm\-dd"/>
    <numFmt numFmtId="183" formatCode="m/d/yy\ h:mm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10"/>
      <color indexed="8"/>
      <name val="Arial"/>
      <family val="0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55"/>
      <name val="Calibri"/>
      <family val="2"/>
    </font>
    <font>
      <sz val="12"/>
      <name val="Calibri"/>
      <family val="2"/>
    </font>
    <font>
      <sz val="10"/>
      <name val="Verdana"/>
      <family val="2"/>
    </font>
    <font>
      <sz val="10"/>
      <color indexed="19"/>
      <name val="Verdana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9"/>
      <name val="Calibri"/>
      <family val="2"/>
    </font>
    <font>
      <sz val="10"/>
      <color indexed="8"/>
      <name val="Calibri"/>
      <family val="2"/>
    </font>
    <font>
      <b/>
      <sz val="8"/>
      <color indexed="23"/>
      <name val="Calibri"/>
      <family val="2"/>
    </font>
    <font>
      <b/>
      <sz val="8"/>
      <color indexed="10"/>
      <name val="Calibri"/>
      <family val="2"/>
    </font>
    <font>
      <b/>
      <sz val="8"/>
      <color indexed="19"/>
      <name val="Calibri"/>
      <family val="2"/>
    </font>
    <font>
      <sz val="9"/>
      <name val="Calibri"/>
      <family val="2"/>
    </font>
    <font>
      <sz val="10"/>
      <color indexed="23"/>
      <name val="Calibri"/>
      <family val="2"/>
    </font>
    <font>
      <b/>
      <sz val="9"/>
      <name val="Calibri"/>
      <family val="2"/>
    </font>
    <font>
      <sz val="10"/>
      <color indexed="19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0" fontId="10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0" fillId="7" borderId="0" xfId="0" applyFont="1" applyFill="1" applyAlignment="1">
      <alignment/>
    </xf>
    <xf numFmtId="174" fontId="10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11" borderId="12" xfId="0" applyFont="1" applyFill="1" applyBorder="1" applyAlignment="1">
      <alignment horizontal="center" wrapText="1"/>
    </xf>
    <xf numFmtId="0" fontId="14" fillId="24" borderId="12" xfId="0" applyFont="1" applyFill="1" applyBorder="1" applyAlignment="1">
      <alignment horizontal="center" wrapText="1"/>
    </xf>
    <xf numFmtId="174" fontId="14" fillId="10" borderId="13" xfId="42" applyNumberFormat="1" applyFont="1" applyFill="1" applyBorder="1" applyAlignment="1">
      <alignment horizontal="center" wrapText="1"/>
    </xf>
    <xf numFmtId="0" fontId="14" fillId="11" borderId="13" xfId="0" applyFont="1" applyFill="1" applyBorder="1" applyAlignment="1">
      <alignment horizontal="center" wrapText="1"/>
    </xf>
    <xf numFmtId="0" fontId="15" fillId="11" borderId="13" xfId="0" applyFont="1" applyFill="1" applyBorder="1" applyAlignment="1">
      <alignment horizontal="center" wrapText="1"/>
    </xf>
    <xf numFmtId="0" fontId="14" fillId="11" borderId="13" xfId="0" applyFont="1" applyFill="1" applyBorder="1" applyAlignment="1">
      <alignment/>
    </xf>
    <xf numFmtId="0" fontId="14" fillId="11" borderId="13" xfId="0" applyFont="1" applyFill="1" applyBorder="1" applyAlignment="1">
      <alignment horizontal="center" vertical="top" wrapText="1"/>
    </xf>
    <xf numFmtId="0" fontId="14" fillId="11" borderId="13" xfId="0" applyFont="1" applyFill="1" applyBorder="1" applyAlignment="1">
      <alignment horizontal="center" vertical="top"/>
    </xf>
    <xf numFmtId="0" fontId="16" fillId="25" borderId="14" xfId="57" applyFont="1" applyFill="1" applyBorder="1" applyAlignment="1">
      <alignment horizontal="center"/>
      <protection/>
    </xf>
    <xf numFmtId="0" fontId="6" fillId="22" borderId="13" xfId="0" applyFont="1" applyFill="1" applyBorder="1" applyAlignment="1">
      <alignment horizontal="center"/>
    </xf>
    <xf numFmtId="170" fontId="17" fillId="22" borderId="13" xfId="0" applyNumberFormat="1" applyFont="1" applyFill="1" applyBorder="1" applyAlignment="1">
      <alignment horizontal="center"/>
    </xf>
    <xf numFmtId="179" fontId="17" fillId="22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170" fontId="18" fillId="22" borderId="13" xfId="0" applyNumberFormat="1" applyFont="1" applyFill="1" applyBorder="1" applyAlignment="1">
      <alignment horizontal="center"/>
    </xf>
    <xf numFmtId="170" fontId="19" fillId="22" borderId="13" xfId="0" applyNumberFormat="1" applyFont="1" applyFill="1" applyBorder="1" applyAlignment="1">
      <alignment horizontal="center"/>
    </xf>
    <xf numFmtId="0" fontId="6" fillId="22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174" fontId="20" fillId="4" borderId="0" xfId="42" applyNumberFormat="1" applyFont="1" applyFill="1" applyAlignment="1">
      <alignment horizontal="center"/>
    </xf>
    <xf numFmtId="0" fontId="7" fillId="0" borderId="15" xfId="0" applyFont="1" applyBorder="1" applyAlignment="1">
      <alignment horizontal="center"/>
    </xf>
    <xf numFmtId="174" fontId="7" fillId="7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20" fontId="6" fillId="22" borderId="13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22" borderId="15" xfId="0" applyFont="1" applyFill="1" applyBorder="1" applyAlignment="1">
      <alignment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170" fontId="17" fillId="0" borderId="13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20" fontId="6" fillId="0" borderId="13" xfId="0" applyNumberFormat="1" applyFont="1" applyFill="1" applyBorder="1" applyAlignment="1">
      <alignment horizontal="center"/>
    </xf>
    <xf numFmtId="174" fontId="7" fillId="0" borderId="13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20" fontId="13" fillId="0" borderId="0" xfId="0" applyNumberFormat="1" applyFont="1" applyAlignment="1">
      <alignment horizontal="center"/>
    </xf>
    <xf numFmtId="20" fontId="23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174" fontId="13" fillId="0" borderId="0" xfId="42" applyNumberFormat="1" applyFont="1" applyAlignment="1">
      <alignment horizontal="center"/>
    </xf>
    <xf numFmtId="0" fontId="13" fillId="7" borderId="0" xfId="0" applyFont="1" applyFill="1" applyAlignment="1">
      <alignment/>
    </xf>
    <xf numFmtId="177" fontId="22" fillId="2" borderId="0" xfId="60" applyNumberFormat="1" applyFont="1" applyFill="1" applyBorder="1" applyAlignment="1">
      <alignment horizontal="right"/>
    </xf>
    <xf numFmtId="9" fontId="13" fillId="0" borderId="0" xfId="60" applyFont="1" applyAlignment="1">
      <alignment horizontal="center"/>
    </xf>
    <xf numFmtId="0" fontId="13" fillId="7" borderId="0" xfId="0" applyFont="1" applyFill="1" applyAlignment="1">
      <alignment/>
    </xf>
    <xf numFmtId="0" fontId="14" fillId="15" borderId="0" xfId="0" applyFont="1" applyFill="1" applyAlignment="1">
      <alignment horizontal="center"/>
    </xf>
    <xf numFmtId="0" fontId="14" fillId="15" borderId="0" xfId="0" applyFont="1" applyFill="1" applyAlignment="1">
      <alignment horizontal="right"/>
    </xf>
    <xf numFmtId="174" fontId="20" fillId="7" borderId="0" xfId="42" applyNumberFormat="1" applyFont="1" applyFill="1" applyAlignment="1">
      <alignment horizontal="center"/>
    </xf>
    <xf numFmtId="0" fontId="20" fillId="7" borderId="0" xfId="0" applyFont="1" applyFill="1" applyBorder="1" applyAlignment="1" quotePrefix="1">
      <alignment horizontal="right"/>
    </xf>
    <xf numFmtId="0" fontId="13" fillId="7" borderId="0" xfId="0" applyFont="1" applyFill="1" applyAlignment="1">
      <alignment horizontal="center"/>
    </xf>
    <xf numFmtId="174" fontId="13" fillId="7" borderId="0" xfId="42" applyNumberFormat="1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20" fillId="24" borderId="0" xfId="0" applyFont="1" applyFill="1" applyBorder="1" applyAlignment="1" quotePrefix="1">
      <alignment horizontal="right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74" fontId="14" fillId="24" borderId="13" xfId="42" applyNumberFormat="1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74" fontId="14" fillId="7" borderId="13" xfId="42" applyNumberFormat="1" applyFont="1" applyFill="1" applyBorder="1" applyAlignment="1">
      <alignment horizontal="center" wrapText="1"/>
    </xf>
    <xf numFmtId="0" fontId="14" fillId="11" borderId="13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15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15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13" fillId="7" borderId="0" xfId="0" applyFont="1" applyFill="1" applyAlignment="1">
      <alignment horizontal="right"/>
    </xf>
    <xf numFmtId="170" fontId="17" fillId="0" borderId="17" xfId="0" applyNumberFormat="1" applyFont="1" applyFill="1" applyBorder="1" applyAlignment="1">
      <alignment horizontal="center"/>
    </xf>
    <xf numFmtId="170" fontId="19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7" fillId="22" borderId="15" xfId="0" applyFont="1" applyFill="1" applyBorder="1" applyAlignment="1">
      <alignment horizontal="center"/>
    </xf>
    <xf numFmtId="174" fontId="7" fillId="7" borderId="1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17" fillId="22" borderId="12" xfId="0" applyFont="1" applyFill="1" applyBorder="1" applyAlignment="1">
      <alignment horizontal="center"/>
    </xf>
    <xf numFmtId="20" fontId="6" fillId="22" borderId="12" xfId="0" applyNumberFormat="1" applyFont="1" applyFill="1" applyBorder="1" applyAlignment="1">
      <alignment horizontal="center"/>
    </xf>
    <xf numFmtId="174" fontId="7" fillId="7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9" fillId="0" borderId="0" xfId="0" applyFont="1" applyAlignment="1">
      <alignment vertical="center"/>
    </xf>
    <xf numFmtId="0" fontId="14" fillId="4" borderId="0" xfId="0" applyFont="1" applyFill="1" applyAlignment="1">
      <alignment/>
    </xf>
    <xf numFmtId="0" fontId="14" fillId="15" borderId="0" xfId="0" applyFont="1" applyFill="1" applyAlignment="1">
      <alignment/>
    </xf>
    <xf numFmtId="0" fontId="20" fillId="24" borderId="0" xfId="0" applyFont="1" applyFill="1" applyBorder="1" applyAlignment="1" quotePrefix="1">
      <alignment/>
    </xf>
    <xf numFmtId="0" fontId="20" fillId="7" borderId="0" xfId="0" applyFont="1" applyFill="1" applyBorder="1" applyAlignment="1" quotePrefix="1">
      <alignment/>
    </xf>
    <xf numFmtId="0" fontId="6" fillId="22" borderId="15" xfId="0" applyNumberFormat="1" applyFont="1" applyFill="1" applyBorder="1" applyAlignment="1">
      <alignment horizontal="center"/>
    </xf>
    <xf numFmtId="0" fontId="6" fillId="22" borderId="15" xfId="0" applyNumberFormat="1" applyFont="1" applyFill="1" applyBorder="1" applyAlignment="1">
      <alignment/>
    </xf>
    <xf numFmtId="0" fontId="6" fillId="22" borderId="18" xfId="0" applyNumberFormat="1" applyFont="1" applyFill="1" applyBorder="1" applyAlignment="1">
      <alignment/>
    </xf>
    <xf numFmtId="0" fontId="8" fillId="22" borderId="15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22" fontId="9" fillId="0" borderId="11" xfId="0" applyNumberFormat="1" applyFont="1" applyBorder="1" applyAlignment="1">
      <alignment horizontal="center" vertical="center"/>
    </xf>
    <xf numFmtId="0" fontId="14" fillId="11" borderId="15" xfId="0" applyFont="1" applyFill="1" applyBorder="1" applyAlignment="1">
      <alignment horizontal="center"/>
    </xf>
    <xf numFmtId="0" fontId="24" fillId="26" borderId="0" xfId="0" applyFont="1" applyFill="1" applyAlignment="1">
      <alignment horizontal="right" wrapText="1"/>
    </xf>
    <xf numFmtId="0" fontId="13" fillId="0" borderId="11" xfId="0" applyFont="1" applyBorder="1" applyAlignment="1" quotePrefix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4" fontId="5" fillId="0" borderId="10" xfId="0" applyNumberFormat="1" applyFont="1" applyBorder="1" applyAlignment="1">
      <alignment horizontal="right"/>
    </xf>
    <xf numFmtId="174" fontId="13" fillId="0" borderId="0" xfId="0" applyNumberFormat="1" applyFont="1" applyAlignment="1">
      <alignment horizontal="right"/>
    </xf>
    <xf numFmtId="0" fontId="6" fillId="22" borderId="13" xfId="0" applyNumberFormat="1" applyFont="1" applyFill="1" applyBorder="1" applyAlignment="1">
      <alignment/>
    </xf>
    <xf numFmtId="181" fontId="6" fillId="22" borderId="13" xfId="0" applyNumberFormat="1" applyFont="1" applyFill="1" applyBorder="1" applyAlignment="1">
      <alignment horizontal="center"/>
    </xf>
    <xf numFmtId="177" fontId="22" fillId="4" borderId="0" xfId="60" applyNumberFormat="1" applyFont="1" applyFill="1" applyAlignment="1">
      <alignment horizontal="right"/>
    </xf>
    <xf numFmtId="177" fontId="22" fillId="0" borderId="0" xfId="60" applyNumberFormat="1" applyFont="1" applyFill="1" applyAlignment="1">
      <alignment horizontal="right"/>
    </xf>
    <xf numFmtId="0" fontId="6" fillId="4" borderId="15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174" fontId="7" fillId="15" borderId="15" xfId="0" applyNumberFormat="1" applyFont="1" applyFill="1" applyBorder="1" applyAlignment="1">
      <alignment horizontal="right"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 horizontal="center" wrapText="1"/>
    </xf>
    <xf numFmtId="0" fontId="6" fillId="1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4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4" borderId="0" xfId="42" applyNumberFormat="1" applyFont="1" applyFill="1" applyAlignment="1">
      <alignment horizontal="center"/>
    </xf>
    <xf numFmtId="0" fontId="1" fillId="26" borderId="0" xfId="53" applyFill="1" applyAlignment="1">
      <alignment/>
    </xf>
    <xf numFmtId="0" fontId="6" fillId="27" borderId="13" xfId="0" applyFont="1" applyFill="1" applyBorder="1" applyAlignment="1">
      <alignment/>
    </xf>
    <xf numFmtId="0" fontId="6" fillId="27" borderId="15" xfId="0" applyNumberFormat="1" applyFont="1" applyFill="1" applyBorder="1" applyAlignment="1">
      <alignment horizontal="center"/>
    </xf>
    <xf numFmtId="20" fontId="6" fillId="22" borderId="15" xfId="0" applyNumberFormat="1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  <xf numFmtId="173" fontId="14" fillId="11" borderId="15" xfId="42" applyNumberFormat="1" applyFont="1" applyFill="1" applyBorder="1" applyAlignment="1">
      <alignment horizontal="center" wrapText="1"/>
    </xf>
    <xf numFmtId="173" fontId="25" fillId="26" borderId="0" xfId="42" applyNumberFormat="1" applyFont="1" applyFill="1" applyAlignment="1">
      <alignment horizontal="center" wrapText="1"/>
    </xf>
    <xf numFmtId="173" fontId="5" fillId="0" borderId="17" xfId="42" applyNumberFormat="1" applyFont="1" applyFill="1" applyBorder="1" applyAlignment="1">
      <alignment horizontal="center"/>
    </xf>
    <xf numFmtId="173" fontId="5" fillId="0" borderId="0" xfId="42" applyNumberFormat="1" applyFont="1" applyAlignment="1">
      <alignment horizontal="center"/>
    </xf>
    <xf numFmtId="173" fontId="22" fillId="4" borderId="0" xfId="42" applyNumberFormat="1" applyFont="1" applyFill="1" applyAlignment="1">
      <alignment horizontal="center"/>
    </xf>
    <xf numFmtId="173" fontId="6" fillId="15" borderId="0" xfId="42" applyNumberFormat="1" applyFont="1" applyFill="1" applyAlignment="1">
      <alignment horizontal="center"/>
    </xf>
    <xf numFmtId="173" fontId="7" fillId="24" borderId="0" xfId="42" applyNumberFormat="1" applyFont="1" applyFill="1" applyBorder="1" applyAlignment="1">
      <alignment horizontal="center"/>
    </xf>
    <xf numFmtId="173" fontId="7" fillId="7" borderId="0" xfId="42" applyNumberFormat="1" applyFont="1" applyFill="1" applyAlignment="1">
      <alignment horizontal="center"/>
    </xf>
    <xf numFmtId="0" fontId="14" fillId="11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74" fontId="14" fillId="15" borderId="0" xfId="42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attacentral.com/regatta/entries/competitors.jsp?job_id=1698&amp;event_id=1" TargetMode="External" /><Relationship Id="rId2" Type="http://schemas.openxmlformats.org/officeDocument/2006/relationships/hyperlink" Target="https://www.regattacentral.com/regatta/entries/competitors.jsp?job_id=1698&amp;event_id=2" TargetMode="External" /><Relationship Id="rId3" Type="http://schemas.openxmlformats.org/officeDocument/2006/relationships/hyperlink" Target="https://www.regattacentral.com/regatta/entries/competitors.jsp?job_id=1698&amp;event_id=3" TargetMode="External" /><Relationship Id="rId4" Type="http://schemas.openxmlformats.org/officeDocument/2006/relationships/hyperlink" Target="https://www.regattacentral.com/regatta/entries/competitors.jsp?job_id=1698&amp;event_id=4" TargetMode="External" /><Relationship Id="rId5" Type="http://schemas.openxmlformats.org/officeDocument/2006/relationships/hyperlink" Target="https://www.regattacentral.com/regatta/entries/competitors.jsp?job_id=1698&amp;event_id=5" TargetMode="External" /><Relationship Id="rId6" Type="http://schemas.openxmlformats.org/officeDocument/2006/relationships/hyperlink" Target="https://www.regattacentral.com/regatta/entries/competitors.jsp?job_id=1698&amp;event_id=6" TargetMode="External" /><Relationship Id="rId7" Type="http://schemas.openxmlformats.org/officeDocument/2006/relationships/hyperlink" Target="https://www.regattacentral.com/regatta/entries/competitors.jsp?job_id=1698&amp;event_id=7" TargetMode="External" /><Relationship Id="rId8" Type="http://schemas.openxmlformats.org/officeDocument/2006/relationships/hyperlink" Target="https://www.regattacentral.com/regatta/entries/competitors.jsp?job_id=1698&amp;event_id=8" TargetMode="External" /><Relationship Id="rId9" Type="http://schemas.openxmlformats.org/officeDocument/2006/relationships/hyperlink" Target="https://www.regattacentral.com/regatta/entries/competitors.jsp?job_id=1698&amp;event_id=56" TargetMode="External" /><Relationship Id="rId10" Type="http://schemas.openxmlformats.org/officeDocument/2006/relationships/hyperlink" Target="https://www.regattacentral.com/regatta/entries/competitors.jsp?job_id=1698&amp;event_id=57" TargetMode="External" /><Relationship Id="rId11" Type="http://schemas.openxmlformats.org/officeDocument/2006/relationships/hyperlink" Target="https://www.regattacentral.com/regatta/entries/competitors.jsp?job_id=1698&amp;event_id=59" TargetMode="External" /><Relationship Id="rId12" Type="http://schemas.openxmlformats.org/officeDocument/2006/relationships/hyperlink" Target="https://www.regattacentral.com/regatta/entries/competitors.jsp?job_id=1698&amp;event_id=9" TargetMode="External" /><Relationship Id="rId13" Type="http://schemas.openxmlformats.org/officeDocument/2006/relationships/hyperlink" Target="https://www.regattacentral.com/regatta/entries/competitors.jsp?job_id=1698&amp;event_id=52" TargetMode="External" /><Relationship Id="rId14" Type="http://schemas.openxmlformats.org/officeDocument/2006/relationships/hyperlink" Target="https://www.regattacentral.com/regatta/entries/competitors.jsp?job_id=1698&amp;event_id=10" TargetMode="External" /><Relationship Id="rId15" Type="http://schemas.openxmlformats.org/officeDocument/2006/relationships/hyperlink" Target="https://www.regattacentral.com/regatta/entries/competitors.jsp?job_id=1698&amp;event_id=11" TargetMode="External" /><Relationship Id="rId16" Type="http://schemas.openxmlformats.org/officeDocument/2006/relationships/hyperlink" Target="https://www.regattacentral.com/regatta/entries/competitors.jsp?job_id=1698&amp;event_id=12" TargetMode="External" /><Relationship Id="rId17" Type="http://schemas.openxmlformats.org/officeDocument/2006/relationships/hyperlink" Target="https://www.regattacentral.com/regatta/entries/competitors.jsp?job_id=1698&amp;event_id=13" TargetMode="External" /><Relationship Id="rId18" Type="http://schemas.openxmlformats.org/officeDocument/2006/relationships/hyperlink" Target="https://www.regattacentral.com/regatta/entries/competitors.jsp?job_id=1698&amp;event_id=58" TargetMode="External" /><Relationship Id="rId19" Type="http://schemas.openxmlformats.org/officeDocument/2006/relationships/hyperlink" Target="https://www.regattacentral.com/regatta/entries/competitors.jsp?job_id=1698&amp;event_id=17" TargetMode="External" /><Relationship Id="rId20" Type="http://schemas.openxmlformats.org/officeDocument/2006/relationships/hyperlink" Target="https://www.regattacentral.com/regatta/entries/competitors.jsp?job_id=1698&amp;event_id=15" TargetMode="External" /><Relationship Id="rId21" Type="http://schemas.openxmlformats.org/officeDocument/2006/relationships/hyperlink" Target="https://www.regattacentral.com/regatta/entries/competitors.jsp?job_id=1698&amp;event_id=16" TargetMode="External" /><Relationship Id="rId22" Type="http://schemas.openxmlformats.org/officeDocument/2006/relationships/hyperlink" Target="https://www.regattacentral.com/regatta/entries/competitors.jsp?job_id=1698&amp;event_id=14" TargetMode="External" /><Relationship Id="rId23" Type="http://schemas.openxmlformats.org/officeDocument/2006/relationships/hyperlink" Target="https://www.regattacentral.com/regatta/entries/competitors.jsp?job_id=1698&amp;event_id=18" TargetMode="External" /><Relationship Id="rId24" Type="http://schemas.openxmlformats.org/officeDocument/2006/relationships/hyperlink" Target="https://www.regattacentral.com/regatta/entries/competitors.jsp?job_id=1698&amp;event_id=19" TargetMode="External" /><Relationship Id="rId25" Type="http://schemas.openxmlformats.org/officeDocument/2006/relationships/hyperlink" Target="https://www.regattacentral.com/regatta/entries/competitors.jsp?job_id=1698&amp;event_id=20" TargetMode="External" /><Relationship Id="rId26" Type="http://schemas.openxmlformats.org/officeDocument/2006/relationships/hyperlink" Target="https://www.regattacentral.com/regatta/entries/competitors.jsp?job_id=1698&amp;event_id=21" TargetMode="External" /><Relationship Id="rId27" Type="http://schemas.openxmlformats.org/officeDocument/2006/relationships/hyperlink" Target="https://www.regattacentral.com/regatta/entries/competitors.jsp?job_id=1698&amp;event_id=22" TargetMode="External" /><Relationship Id="rId28" Type="http://schemas.openxmlformats.org/officeDocument/2006/relationships/hyperlink" Target="https://www.regattacentral.com/regatta/entries/competitors.jsp?job_id=1698&amp;event_id=23" TargetMode="External" /><Relationship Id="rId29" Type="http://schemas.openxmlformats.org/officeDocument/2006/relationships/hyperlink" Target="https://www.regattacentral.com/regatta/entries/competitors.jsp?job_id=1698&amp;event_id=45" TargetMode="External" /><Relationship Id="rId30" Type="http://schemas.openxmlformats.org/officeDocument/2006/relationships/hyperlink" Target="https://www.regattacentral.com/regatta/entries/competitors.jsp?job_id=1698&amp;event_id=26" TargetMode="External" /><Relationship Id="rId31" Type="http://schemas.openxmlformats.org/officeDocument/2006/relationships/hyperlink" Target="https://www.regattacentral.com/regatta/entries/competitors.jsp?job_id=1698&amp;event_id=27" TargetMode="External" /><Relationship Id="rId32" Type="http://schemas.openxmlformats.org/officeDocument/2006/relationships/hyperlink" Target="https://www.regattacentral.com/regatta/entries/competitors.jsp?job_id=1698&amp;event_id=29" TargetMode="External" /><Relationship Id="rId33" Type="http://schemas.openxmlformats.org/officeDocument/2006/relationships/comments" Target="../comments1.xml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13" sqref="U13"/>
    </sheetView>
  </sheetViews>
  <sheetFormatPr defaultColWidth="9.140625" defaultRowHeight="17.25" customHeight="1"/>
  <cols>
    <col min="1" max="1" width="7.421875" style="1" customWidth="1"/>
    <col min="2" max="2" width="6.00390625" style="1" customWidth="1"/>
    <col min="3" max="3" width="9.57421875" style="7" customWidth="1"/>
    <col min="4" max="5" width="10.28125" style="7" customWidth="1"/>
    <col min="6" max="6" width="9.57421875" style="7" hidden="1" customWidth="1"/>
    <col min="7" max="7" width="11.00390625" style="7" hidden="1" customWidth="1"/>
    <col min="8" max="8" width="10.57421875" style="7" customWidth="1"/>
    <col min="9" max="9" width="11.421875" style="7" customWidth="1"/>
    <col min="10" max="10" width="7.57421875" style="8" customWidth="1"/>
    <col min="11" max="11" width="21.7109375" style="2" customWidth="1"/>
    <col min="12" max="12" width="3.7109375" style="2" customWidth="1"/>
    <col min="13" max="13" width="8.8515625" style="113" customWidth="1"/>
    <col min="14" max="14" width="8.8515625" style="145" customWidth="1"/>
    <col min="15" max="15" width="8.140625" style="1" customWidth="1"/>
    <col min="16" max="19" width="7.140625" style="1" customWidth="1"/>
    <col min="20" max="20" width="9.421875" style="78" customWidth="1"/>
    <col min="21" max="21" width="7.140625" style="78" customWidth="1"/>
    <col min="22" max="22" width="9.00390625" style="78" customWidth="1"/>
    <col min="23" max="23" width="8.140625" style="10" customWidth="1"/>
    <col min="24" max="24" width="8.140625" style="1" customWidth="1"/>
    <col min="25" max="26" width="8.140625" style="11" customWidth="1"/>
    <col min="27" max="27" width="4.57421875" style="2" customWidth="1"/>
    <col min="28" max="28" width="15.8515625" style="2" customWidth="1"/>
    <col min="29" max="29" width="9.140625" style="2" customWidth="1"/>
    <col min="30" max="30" width="27.00390625" style="2" bestFit="1" customWidth="1"/>
    <col min="31" max="31" width="19.7109375" style="2" customWidth="1"/>
    <col min="32" max="33" width="9.140625" style="2" customWidth="1"/>
    <col min="34" max="34" width="6.00390625" style="2" customWidth="1"/>
    <col min="35" max="35" width="11.28125" style="2" customWidth="1"/>
    <col min="36" max="36" width="9.140625" style="2" customWidth="1"/>
    <col min="37" max="38" width="9.140625" style="1" customWidth="1"/>
    <col min="39" max="39" width="9.140625" style="2" customWidth="1"/>
    <col min="40" max="41" width="9.140625" style="78" customWidth="1"/>
    <col min="42" max="16384" width="9.140625" style="2" customWidth="1"/>
  </cols>
  <sheetData>
    <row r="1" spans="1:34" ht="66.75" customHeight="1">
      <c r="A1" s="95" t="s">
        <v>99</v>
      </c>
      <c r="B1" s="96"/>
      <c r="C1" s="96"/>
      <c r="D1" s="96"/>
      <c r="E1" s="12"/>
      <c r="F1" s="12"/>
      <c r="G1" s="107">
        <f ca="1">NOW()</f>
        <v>40450.54721261574</v>
      </c>
      <c r="H1" s="107"/>
      <c r="I1" s="152" t="s">
        <v>232</v>
      </c>
      <c r="J1" s="153"/>
      <c r="K1" s="153"/>
      <c r="L1" s="97"/>
      <c r="M1" s="152" t="s">
        <v>234</v>
      </c>
      <c r="N1" s="152"/>
      <c r="O1" s="153"/>
      <c r="P1" s="153"/>
      <c r="Q1" s="154"/>
      <c r="R1" s="154"/>
      <c r="S1" s="154"/>
      <c r="T1" s="154"/>
      <c r="U1" s="154"/>
      <c r="V1" s="154"/>
      <c r="W1" s="110"/>
      <c r="X1" s="110"/>
      <c r="Y1" s="110"/>
      <c r="Z1" s="110"/>
      <c r="AA1" s="110"/>
      <c r="AB1" s="110"/>
      <c r="AC1" s="14"/>
      <c r="AD1" s="14"/>
      <c r="AE1" s="14" t="s">
        <v>87</v>
      </c>
      <c r="AF1" s="14"/>
      <c r="AG1" s="14"/>
      <c r="AH1" s="14"/>
    </row>
    <row r="2" spans="1:41" ht="45.75" customHeight="1">
      <c r="A2" s="15" t="s">
        <v>231</v>
      </c>
      <c r="B2" s="15" t="s">
        <v>14</v>
      </c>
      <c r="C2" s="15" t="s">
        <v>69</v>
      </c>
      <c r="D2" s="15" t="s">
        <v>70</v>
      </c>
      <c r="E2" s="15" t="s">
        <v>97</v>
      </c>
      <c r="F2" s="16" t="s">
        <v>88</v>
      </c>
      <c r="G2" s="17" t="s">
        <v>17</v>
      </c>
      <c r="H2" s="18" t="s">
        <v>98</v>
      </c>
      <c r="I2" s="18" t="s">
        <v>71</v>
      </c>
      <c r="J2" s="19" t="s">
        <v>85</v>
      </c>
      <c r="K2" s="20" t="s">
        <v>11</v>
      </c>
      <c r="L2" s="108" t="s">
        <v>91</v>
      </c>
      <c r="M2" s="18" t="s">
        <v>95</v>
      </c>
      <c r="N2" s="142" t="s">
        <v>233</v>
      </c>
      <c r="O2" s="129" t="s">
        <v>96</v>
      </c>
      <c r="P2" s="21" t="s">
        <v>72</v>
      </c>
      <c r="Q2" s="22" t="s">
        <v>4</v>
      </c>
      <c r="R2" s="22" t="s">
        <v>73</v>
      </c>
      <c r="S2" s="22" t="s">
        <v>0</v>
      </c>
      <c r="T2" s="76" t="s">
        <v>112</v>
      </c>
      <c r="U2" s="76" t="s">
        <v>113</v>
      </c>
      <c r="V2" s="76" t="s">
        <v>114</v>
      </c>
      <c r="W2" s="71" t="s">
        <v>103</v>
      </c>
      <c r="X2" s="71" t="s">
        <v>102</v>
      </c>
      <c r="Y2" s="75" t="s">
        <v>100</v>
      </c>
      <c r="Z2" s="75" t="s">
        <v>101</v>
      </c>
      <c r="AA2" s="150" t="s">
        <v>86</v>
      </c>
      <c r="AB2" s="151"/>
      <c r="AC2" s="14"/>
      <c r="AD2" s="23" t="s">
        <v>84</v>
      </c>
      <c r="AE2" s="23" t="s">
        <v>11</v>
      </c>
      <c r="AF2" s="23" t="s">
        <v>80</v>
      </c>
      <c r="AG2" s="23" t="s">
        <v>83</v>
      </c>
      <c r="AH2" s="14"/>
      <c r="AK2" s="111" t="s">
        <v>94</v>
      </c>
      <c r="AL2" s="111" t="s">
        <v>107</v>
      </c>
      <c r="AM2" s="111"/>
      <c r="AN2" s="111"/>
      <c r="AO2" s="111"/>
    </row>
    <row r="3" spans="1:41" s="3" customFormat="1" ht="12" customHeight="1">
      <c r="A3" s="24">
        <v>1</v>
      </c>
      <c r="B3" s="24">
        <v>1</v>
      </c>
      <c r="C3" s="25">
        <f aca="true" t="shared" si="0" ref="C3:C42">I3-(1/24)-E3</f>
        <v>0.3125</v>
      </c>
      <c r="D3" s="25">
        <f>C3+(20/1440)</f>
        <v>0.3263888888888889</v>
      </c>
      <c r="E3" s="26">
        <f>IF(M3&gt;$AJ$3,(1/4)/24,0)</f>
        <v>0</v>
      </c>
      <c r="F3" s="27"/>
      <c r="G3" s="28">
        <v>12</v>
      </c>
      <c r="H3" s="24"/>
      <c r="I3" s="29">
        <v>0.3541666666666667</v>
      </c>
      <c r="J3" s="30">
        <f>I3+(40/1440)</f>
        <v>0.3819444444444445</v>
      </c>
      <c r="K3" s="31" t="s">
        <v>21</v>
      </c>
      <c r="L3" s="102" t="s">
        <v>90</v>
      </c>
      <c r="M3" s="126">
        <f>AE3</f>
        <v>7</v>
      </c>
      <c r="N3" s="143"/>
      <c r="O3" s="130">
        <v>4</v>
      </c>
      <c r="P3" s="32" t="s">
        <v>108</v>
      </c>
      <c r="Q3" s="32" t="s">
        <v>5</v>
      </c>
      <c r="R3" s="32"/>
      <c r="S3" s="32" t="s">
        <v>7</v>
      </c>
      <c r="T3" s="77">
        <f>SUM(M$3:M3)</f>
        <v>7</v>
      </c>
      <c r="U3" s="124">
        <f aca="true" t="shared" si="1" ref="U3:U42">M3*VLOOKUP(P3,BOATCLASS,2)</f>
        <v>7</v>
      </c>
      <c r="V3" s="77">
        <f>SUM(U$3:U3)</f>
        <v>7</v>
      </c>
      <c r="W3" s="72">
        <v>4</v>
      </c>
      <c r="X3" s="27">
        <f>SUM(W$3:W3)</f>
        <v>4</v>
      </c>
      <c r="Y3" s="35">
        <v>4</v>
      </c>
      <c r="Z3" s="35">
        <f>SUM(Y$3:Y3)</f>
        <v>4</v>
      </c>
      <c r="AA3" s="36"/>
      <c r="AB3" s="36">
        <v>8</v>
      </c>
      <c r="AC3" s="125" t="s">
        <v>115</v>
      </c>
      <c r="AD3" s="137" t="s">
        <v>116</v>
      </c>
      <c r="AE3" s="109">
        <v>7</v>
      </c>
      <c r="AF3" s="109">
        <v>7</v>
      </c>
      <c r="AI3" s="3" t="s">
        <v>93</v>
      </c>
      <c r="AJ3" s="3">
        <v>20</v>
      </c>
      <c r="AK3" s="111" t="s">
        <v>108</v>
      </c>
      <c r="AL3" s="111">
        <v>1</v>
      </c>
      <c r="AM3" s="111"/>
      <c r="AN3" s="116"/>
      <c r="AO3" s="116"/>
    </row>
    <row r="4" spans="1:41" s="4" customFormat="1" ht="12" customHeight="1">
      <c r="A4" s="24">
        <v>2</v>
      </c>
      <c r="B4" s="24">
        <v>2</v>
      </c>
      <c r="C4" s="25">
        <f t="shared" si="0"/>
        <v>0.3125</v>
      </c>
      <c r="D4" s="25">
        <f aca="true" t="shared" si="2" ref="D4:D62">C4+(20/1440)</f>
        <v>0.3263888888888889</v>
      </c>
      <c r="E4" s="26">
        <f aca="true" t="shared" si="3" ref="E4:E61">IF(M4&gt;$AJ$3,(1/4)/24,0)</f>
        <v>0</v>
      </c>
      <c r="F4" s="27"/>
      <c r="G4" s="28">
        <v>13</v>
      </c>
      <c r="H4" s="24"/>
      <c r="I4" s="29">
        <f aca="true" t="shared" si="4" ref="I4:I62">I3+H4+E4</f>
        <v>0.3541666666666667</v>
      </c>
      <c r="J4" s="30">
        <f aca="true" t="shared" si="5" ref="J4:J62">I4+(40/1440)</f>
        <v>0.3819444444444445</v>
      </c>
      <c r="K4" s="31" t="s">
        <v>22</v>
      </c>
      <c r="L4" s="102" t="s">
        <v>90</v>
      </c>
      <c r="M4" s="126">
        <f>AE4</f>
        <v>9</v>
      </c>
      <c r="N4" s="143"/>
      <c r="O4" s="130">
        <v>8</v>
      </c>
      <c r="P4" s="32" t="s">
        <v>108</v>
      </c>
      <c r="Q4" s="32" t="s">
        <v>5</v>
      </c>
      <c r="R4" s="32"/>
      <c r="S4" s="32" t="s">
        <v>7</v>
      </c>
      <c r="T4" s="77">
        <f>SUM(M$3:M4)</f>
        <v>16</v>
      </c>
      <c r="U4" s="124">
        <f t="shared" si="1"/>
        <v>9</v>
      </c>
      <c r="V4" s="77">
        <f>SUM(U$3:U4)</f>
        <v>16</v>
      </c>
      <c r="W4" s="72">
        <v>8</v>
      </c>
      <c r="X4" s="27">
        <f>SUM(W$3:W4)</f>
        <v>12</v>
      </c>
      <c r="Y4" s="35">
        <v>8</v>
      </c>
      <c r="Z4" s="35">
        <f>SUM(Y$3:Y4)</f>
        <v>12</v>
      </c>
      <c r="AA4" s="36"/>
      <c r="AB4" s="36">
        <f aca="true" t="shared" si="6" ref="AB4:AB62">IF(INT(I4*24)&lt;&gt;INT(I3*24),INT(I4*24),"")</f>
      </c>
      <c r="AC4" s="125" t="s">
        <v>117</v>
      </c>
      <c r="AD4" s="137" t="s">
        <v>118</v>
      </c>
      <c r="AE4" s="109">
        <v>9</v>
      </c>
      <c r="AF4" s="109">
        <v>9</v>
      </c>
      <c r="AK4" s="112" t="s">
        <v>109</v>
      </c>
      <c r="AL4" s="112">
        <v>2</v>
      </c>
      <c r="AM4" s="112"/>
      <c r="AN4" s="116"/>
      <c r="AO4" s="116"/>
    </row>
    <row r="5" spans="1:41" s="4" customFormat="1" ht="12" customHeight="1">
      <c r="A5" s="24">
        <v>3</v>
      </c>
      <c r="B5" s="24">
        <v>3</v>
      </c>
      <c r="C5" s="25">
        <f t="shared" si="0"/>
        <v>0.3125</v>
      </c>
      <c r="D5" s="25">
        <f t="shared" si="2"/>
        <v>0.3263888888888889</v>
      </c>
      <c r="E5" s="26">
        <f t="shared" si="3"/>
        <v>0</v>
      </c>
      <c r="F5" s="27"/>
      <c r="G5" s="28">
        <v>14</v>
      </c>
      <c r="H5" s="24"/>
      <c r="I5" s="29">
        <f t="shared" si="4"/>
        <v>0.3541666666666667</v>
      </c>
      <c r="J5" s="30">
        <f t="shared" si="5"/>
        <v>0.3819444444444445</v>
      </c>
      <c r="K5" s="31" t="s">
        <v>23</v>
      </c>
      <c r="L5" s="102" t="s">
        <v>90</v>
      </c>
      <c r="M5" s="126">
        <f>AE5</f>
        <v>12</v>
      </c>
      <c r="N5" s="143"/>
      <c r="O5" s="130">
        <v>7</v>
      </c>
      <c r="P5" s="32" t="s">
        <v>108</v>
      </c>
      <c r="Q5" s="32" t="s">
        <v>5</v>
      </c>
      <c r="R5" s="32"/>
      <c r="S5" s="32" t="s">
        <v>7</v>
      </c>
      <c r="T5" s="77">
        <f>SUM(M$3:M5)</f>
        <v>28</v>
      </c>
      <c r="U5" s="124">
        <f t="shared" si="1"/>
        <v>12</v>
      </c>
      <c r="V5" s="77">
        <f>SUM(U$3:U5)</f>
        <v>28</v>
      </c>
      <c r="W5" s="72">
        <v>7</v>
      </c>
      <c r="X5" s="27">
        <f>SUM(W$3:W5)</f>
        <v>19</v>
      </c>
      <c r="Y5" s="35">
        <v>7</v>
      </c>
      <c r="Z5" s="35">
        <f>SUM(Y$3:Y5)</f>
        <v>19</v>
      </c>
      <c r="AA5" s="36"/>
      <c r="AB5" s="36">
        <f t="shared" si="6"/>
      </c>
      <c r="AC5" s="125" t="s">
        <v>119</v>
      </c>
      <c r="AD5" s="137" t="s">
        <v>120</v>
      </c>
      <c r="AE5" s="109">
        <v>12</v>
      </c>
      <c r="AF5" s="109">
        <v>12</v>
      </c>
      <c r="AK5" s="112" t="s">
        <v>76</v>
      </c>
      <c r="AL5" s="112">
        <v>2</v>
      </c>
      <c r="AM5" s="112"/>
      <c r="AN5" s="116"/>
      <c r="AO5" s="116"/>
    </row>
    <row r="6" spans="1:41" s="4" customFormat="1" ht="12" customHeight="1">
      <c r="A6" s="24">
        <v>4</v>
      </c>
      <c r="B6" s="24">
        <v>4</v>
      </c>
      <c r="C6" s="25">
        <f t="shared" si="0"/>
        <v>0.3125</v>
      </c>
      <c r="D6" s="25">
        <f t="shared" si="2"/>
        <v>0.3263888888888889</v>
      </c>
      <c r="E6" s="26">
        <f t="shared" si="3"/>
        <v>0</v>
      </c>
      <c r="F6" s="27"/>
      <c r="G6" s="28">
        <v>15</v>
      </c>
      <c r="H6" s="24"/>
      <c r="I6" s="29">
        <f t="shared" si="4"/>
        <v>0.3541666666666667</v>
      </c>
      <c r="J6" s="30">
        <f t="shared" si="5"/>
        <v>0.3819444444444445</v>
      </c>
      <c r="K6" s="31" t="s">
        <v>24</v>
      </c>
      <c r="L6" s="102" t="s">
        <v>90</v>
      </c>
      <c r="M6" s="126">
        <f>AE6</f>
        <v>9</v>
      </c>
      <c r="N6" s="143"/>
      <c r="O6" s="130">
        <v>9</v>
      </c>
      <c r="P6" s="32" t="s">
        <v>108</v>
      </c>
      <c r="Q6" s="32" t="s">
        <v>5</v>
      </c>
      <c r="R6" s="32"/>
      <c r="S6" s="32" t="s">
        <v>7</v>
      </c>
      <c r="T6" s="77">
        <f>SUM(M$3:M6)</f>
        <v>37</v>
      </c>
      <c r="U6" s="124">
        <f t="shared" si="1"/>
        <v>9</v>
      </c>
      <c r="V6" s="77">
        <f>SUM(U$3:U6)</f>
        <v>37</v>
      </c>
      <c r="W6" s="72">
        <v>9</v>
      </c>
      <c r="X6" s="27">
        <f>SUM(W$3:W6)</f>
        <v>28</v>
      </c>
      <c r="Y6" s="35">
        <v>9</v>
      </c>
      <c r="Z6" s="35">
        <f>SUM(Y$3:Y6)</f>
        <v>28</v>
      </c>
      <c r="AA6" s="36"/>
      <c r="AB6" s="36">
        <f t="shared" si="6"/>
      </c>
      <c r="AC6" s="125" t="s">
        <v>121</v>
      </c>
      <c r="AD6" s="137" t="s">
        <v>122</v>
      </c>
      <c r="AE6" s="109">
        <v>9</v>
      </c>
      <c r="AF6" s="109">
        <v>9</v>
      </c>
      <c r="AK6" s="112" t="s">
        <v>111</v>
      </c>
      <c r="AL6" s="112">
        <v>5</v>
      </c>
      <c r="AM6" s="112"/>
      <c r="AN6" s="116"/>
      <c r="AO6" s="116"/>
    </row>
    <row r="7" spans="1:41" s="4" customFormat="1" ht="12" customHeight="1">
      <c r="A7" s="24">
        <v>5</v>
      </c>
      <c r="B7" s="24">
        <v>5</v>
      </c>
      <c r="C7" s="25">
        <f t="shared" si="0"/>
        <v>0.3125</v>
      </c>
      <c r="D7" s="25">
        <f t="shared" si="2"/>
        <v>0.3263888888888889</v>
      </c>
      <c r="E7" s="26">
        <f t="shared" si="3"/>
        <v>0</v>
      </c>
      <c r="F7" s="27"/>
      <c r="G7" s="28">
        <v>16</v>
      </c>
      <c r="H7" s="39"/>
      <c r="I7" s="29">
        <f t="shared" si="4"/>
        <v>0.3541666666666667</v>
      </c>
      <c r="J7" s="30">
        <f t="shared" si="5"/>
        <v>0.3819444444444445</v>
      </c>
      <c r="K7" s="31" t="s">
        <v>43</v>
      </c>
      <c r="L7" s="102" t="s">
        <v>90</v>
      </c>
      <c r="M7" s="126">
        <f>AE7</f>
        <v>5</v>
      </c>
      <c r="N7" s="143"/>
      <c r="O7" s="130">
        <v>6</v>
      </c>
      <c r="P7" s="32" t="s">
        <v>108</v>
      </c>
      <c r="Q7" s="32" t="s">
        <v>6</v>
      </c>
      <c r="R7" s="32"/>
      <c r="S7" s="32" t="s">
        <v>7</v>
      </c>
      <c r="T7" s="77">
        <f>SUM(M$3:M7)</f>
        <v>42</v>
      </c>
      <c r="U7" s="124">
        <f t="shared" si="1"/>
        <v>5</v>
      </c>
      <c r="V7" s="77">
        <f>SUM(U$3:U7)</f>
        <v>42</v>
      </c>
      <c r="W7" s="72">
        <v>6</v>
      </c>
      <c r="X7" s="27">
        <f>SUM(W$3:W7)</f>
        <v>34</v>
      </c>
      <c r="Y7" s="35">
        <v>6</v>
      </c>
      <c r="Z7" s="35">
        <f>SUM(Y$3:Y7)</f>
        <v>34</v>
      </c>
      <c r="AA7" s="36"/>
      <c r="AB7" s="36">
        <f t="shared" si="6"/>
      </c>
      <c r="AC7" s="125" t="s">
        <v>123</v>
      </c>
      <c r="AD7" s="137" t="s">
        <v>124</v>
      </c>
      <c r="AE7" s="109">
        <v>5</v>
      </c>
      <c r="AF7" s="109">
        <v>5</v>
      </c>
      <c r="AK7" s="112" t="s">
        <v>75</v>
      </c>
      <c r="AL7" s="112">
        <v>4</v>
      </c>
      <c r="AM7" s="112"/>
      <c r="AN7" s="116"/>
      <c r="AO7" s="116"/>
    </row>
    <row r="8" spans="1:41" s="4" customFormat="1" ht="12" customHeight="1">
      <c r="A8" s="24">
        <v>6</v>
      </c>
      <c r="B8" s="24">
        <v>6</v>
      </c>
      <c r="C8" s="25">
        <f t="shared" si="0"/>
        <v>0.3125</v>
      </c>
      <c r="D8" s="25">
        <f t="shared" si="2"/>
        <v>0.3263888888888889</v>
      </c>
      <c r="E8" s="26">
        <f t="shared" si="3"/>
        <v>0</v>
      </c>
      <c r="F8" s="27"/>
      <c r="G8" s="28">
        <v>17</v>
      </c>
      <c r="H8" s="24"/>
      <c r="I8" s="29">
        <f t="shared" si="4"/>
        <v>0.3541666666666667</v>
      </c>
      <c r="J8" s="30">
        <f t="shared" si="5"/>
        <v>0.3819444444444445</v>
      </c>
      <c r="K8" s="31" t="s">
        <v>44</v>
      </c>
      <c r="L8" s="102" t="s">
        <v>90</v>
      </c>
      <c r="M8" s="126">
        <f>AE8</f>
        <v>4</v>
      </c>
      <c r="N8" s="143"/>
      <c r="O8" s="130">
        <v>2</v>
      </c>
      <c r="P8" s="32" t="s">
        <v>108</v>
      </c>
      <c r="Q8" s="32" t="s">
        <v>6</v>
      </c>
      <c r="R8" s="32"/>
      <c r="S8" s="32" t="s">
        <v>7</v>
      </c>
      <c r="T8" s="77">
        <f>SUM(M$3:M8)</f>
        <v>46</v>
      </c>
      <c r="U8" s="124">
        <f t="shared" si="1"/>
        <v>4</v>
      </c>
      <c r="V8" s="77">
        <f>SUM(U$3:U8)</f>
        <v>46</v>
      </c>
      <c r="W8" s="72">
        <v>2</v>
      </c>
      <c r="X8" s="27">
        <f>SUM(W$3:W8)</f>
        <v>36</v>
      </c>
      <c r="Y8" s="35">
        <v>2</v>
      </c>
      <c r="Z8" s="35">
        <f>SUM(Y$3:Y8)</f>
        <v>36</v>
      </c>
      <c r="AA8" s="36"/>
      <c r="AB8" s="36">
        <f t="shared" si="6"/>
      </c>
      <c r="AC8" s="125" t="s">
        <v>125</v>
      </c>
      <c r="AD8" s="137" t="s">
        <v>126</v>
      </c>
      <c r="AE8" s="109">
        <v>4</v>
      </c>
      <c r="AF8" s="109">
        <v>4</v>
      </c>
      <c r="AK8" s="112" t="s">
        <v>110</v>
      </c>
      <c r="AL8" s="112">
        <v>9</v>
      </c>
      <c r="AM8" s="112"/>
      <c r="AN8" s="116"/>
      <c r="AO8" s="116"/>
    </row>
    <row r="9" spans="1:41" s="4" customFormat="1" ht="12" customHeight="1">
      <c r="A9" s="24">
        <v>7</v>
      </c>
      <c r="B9" s="24">
        <v>7</v>
      </c>
      <c r="C9" s="25">
        <f t="shared" si="0"/>
        <v>0.3125</v>
      </c>
      <c r="D9" s="25">
        <f t="shared" si="2"/>
        <v>0.3263888888888889</v>
      </c>
      <c r="E9" s="26">
        <f t="shared" si="3"/>
        <v>0</v>
      </c>
      <c r="F9" s="27"/>
      <c r="G9" s="28">
        <v>18</v>
      </c>
      <c r="H9" s="40"/>
      <c r="I9" s="29">
        <f t="shared" si="4"/>
        <v>0.3541666666666667</v>
      </c>
      <c r="J9" s="30">
        <f t="shared" si="5"/>
        <v>0.3819444444444445</v>
      </c>
      <c r="K9" s="41" t="s">
        <v>45</v>
      </c>
      <c r="L9" s="102" t="s">
        <v>90</v>
      </c>
      <c r="M9" s="126">
        <f>AE9</f>
        <v>3</v>
      </c>
      <c r="N9" s="143"/>
      <c r="O9" s="130">
        <v>6</v>
      </c>
      <c r="P9" s="32" t="s">
        <v>108</v>
      </c>
      <c r="Q9" s="34" t="s">
        <v>6</v>
      </c>
      <c r="R9" s="34"/>
      <c r="S9" s="34" t="s">
        <v>7</v>
      </c>
      <c r="T9" s="77">
        <f>SUM(M$3:M9)</f>
        <v>49</v>
      </c>
      <c r="U9" s="124">
        <f t="shared" si="1"/>
        <v>3</v>
      </c>
      <c r="V9" s="77">
        <f>SUM(U$3:U9)</f>
        <v>49</v>
      </c>
      <c r="W9" s="72">
        <v>6</v>
      </c>
      <c r="X9" s="27">
        <f>SUM(W$3:W9)</f>
        <v>42</v>
      </c>
      <c r="Y9" s="35">
        <v>6</v>
      </c>
      <c r="Z9" s="35">
        <f>SUM(Y$3:Y9)</f>
        <v>42</v>
      </c>
      <c r="AA9" s="36"/>
      <c r="AB9" s="36">
        <f t="shared" si="6"/>
      </c>
      <c r="AC9" s="125" t="s">
        <v>127</v>
      </c>
      <c r="AD9" s="137" t="s">
        <v>128</v>
      </c>
      <c r="AE9" s="109">
        <v>3</v>
      </c>
      <c r="AF9" s="109">
        <v>3</v>
      </c>
      <c r="AK9" s="112"/>
      <c r="AL9" s="112"/>
      <c r="AN9" s="116"/>
      <c r="AO9" s="116"/>
    </row>
    <row r="10" spans="1:41" s="3" customFormat="1" ht="12" customHeight="1">
      <c r="A10" s="24">
        <v>8</v>
      </c>
      <c r="B10" s="24">
        <v>8</v>
      </c>
      <c r="C10" s="25">
        <f t="shared" si="0"/>
        <v>0.3125</v>
      </c>
      <c r="D10" s="25">
        <f t="shared" si="2"/>
        <v>0.3263888888888889</v>
      </c>
      <c r="E10" s="26">
        <f t="shared" si="3"/>
        <v>0</v>
      </c>
      <c r="F10" s="27"/>
      <c r="G10" s="28">
        <v>19</v>
      </c>
      <c r="H10" s="40"/>
      <c r="I10" s="29">
        <f t="shared" si="4"/>
        <v>0.3541666666666667</v>
      </c>
      <c r="J10" s="30">
        <f t="shared" si="5"/>
        <v>0.3819444444444445</v>
      </c>
      <c r="K10" s="41" t="s">
        <v>46</v>
      </c>
      <c r="L10" s="102" t="s">
        <v>90</v>
      </c>
      <c r="M10" s="126">
        <f>AE10</f>
        <v>1</v>
      </c>
      <c r="N10" s="143"/>
      <c r="O10" s="130">
        <v>0</v>
      </c>
      <c r="P10" s="32" t="s">
        <v>108</v>
      </c>
      <c r="Q10" s="34" t="s">
        <v>6</v>
      </c>
      <c r="R10" s="34"/>
      <c r="S10" s="34" t="s">
        <v>7</v>
      </c>
      <c r="T10" s="77">
        <f>SUM(M$3:M10)</f>
        <v>50</v>
      </c>
      <c r="U10" s="124">
        <f t="shared" si="1"/>
        <v>1</v>
      </c>
      <c r="V10" s="77">
        <f>SUM(U$3:U10)</f>
        <v>50</v>
      </c>
      <c r="W10" s="72">
        <v>0</v>
      </c>
      <c r="X10" s="27">
        <f>SUM(W$3:W10)</f>
        <v>42</v>
      </c>
      <c r="Y10" s="35">
        <v>0</v>
      </c>
      <c r="Z10" s="35">
        <f>SUM(Y$3:Y10)</f>
        <v>42</v>
      </c>
      <c r="AA10" s="37"/>
      <c r="AB10" s="36">
        <f t="shared" si="6"/>
      </c>
      <c r="AC10" s="125" t="s">
        <v>129</v>
      </c>
      <c r="AD10" s="137" t="s">
        <v>130</v>
      </c>
      <c r="AE10" s="109">
        <v>1</v>
      </c>
      <c r="AF10" s="109">
        <v>1</v>
      </c>
      <c r="AK10" s="111"/>
      <c r="AL10" s="111"/>
      <c r="AN10" s="116"/>
      <c r="AO10" s="116"/>
    </row>
    <row r="11" spans="1:41" s="4" customFormat="1" ht="12" customHeight="1">
      <c r="A11" s="24">
        <v>9</v>
      </c>
      <c r="B11" s="24">
        <v>9</v>
      </c>
      <c r="C11" s="25">
        <f>I11-(1/24)-E11</f>
        <v>0.3125</v>
      </c>
      <c r="D11" s="25">
        <f t="shared" si="2"/>
        <v>0.3263888888888889</v>
      </c>
      <c r="E11" s="26">
        <f>IF(M11&gt;$AJ$3,(1/4)/24,0)</f>
        <v>0</v>
      </c>
      <c r="F11" s="27"/>
      <c r="G11" s="28">
        <v>19</v>
      </c>
      <c r="H11" s="40"/>
      <c r="I11" s="29">
        <f t="shared" si="4"/>
        <v>0.3541666666666667</v>
      </c>
      <c r="J11" s="30">
        <f t="shared" si="5"/>
        <v>0.3819444444444445</v>
      </c>
      <c r="K11" s="122" t="s">
        <v>104</v>
      </c>
      <c r="L11" s="102"/>
      <c r="M11" s="126">
        <f>AE11</f>
        <v>4</v>
      </c>
      <c r="N11" s="143"/>
      <c r="O11" s="130">
        <v>0</v>
      </c>
      <c r="P11" s="32" t="s">
        <v>108</v>
      </c>
      <c r="Q11" s="34" t="s">
        <v>5</v>
      </c>
      <c r="R11" s="34"/>
      <c r="S11" s="34" t="s">
        <v>3</v>
      </c>
      <c r="T11" s="77">
        <f>SUM(M$3:M11)</f>
        <v>54</v>
      </c>
      <c r="U11" s="124">
        <f t="shared" si="1"/>
        <v>4</v>
      </c>
      <c r="V11" s="77">
        <f>SUM(U$3:U11)</f>
        <v>54</v>
      </c>
      <c r="W11" s="72">
        <v>0</v>
      </c>
      <c r="X11" s="27">
        <f>SUM(W$3:W11)</f>
        <v>42</v>
      </c>
      <c r="Y11" s="35"/>
      <c r="Z11" s="35"/>
      <c r="AA11" s="37"/>
      <c r="AB11" s="36">
        <f t="shared" si="6"/>
      </c>
      <c r="AC11" s="125" t="s">
        <v>131</v>
      </c>
      <c r="AD11" s="137" t="s">
        <v>132</v>
      </c>
      <c r="AE11" s="109">
        <v>4</v>
      </c>
      <c r="AF11" s="109">
        <v>4</v>
      </c>
      <c r="AK11" s="112"/>
      <c r="AL11" s="112"/>
      <c r="AN11" s="116"/>
      <c r="AO11" s="116"/>
    </row>
    <row r="12" spans="1:41" s="4" customFormat="1" ht="12" customHeight="1">
      <c r="A12" s="24">
        <v>10</v>
      </c>
      <c r="B12" s="24">
        <v>10</v>
      </c>
      <c r="C12" s="25">
        <f>I12-(1/24)-E12</f>
        <v>0.3125</v>
      </c>
      <c r="D12" s="25">
        <f t="shared" si="2"/>
        <v>0.3263888888888889</v>
      </c>
      <c r="E12" s="26">
        <f>IF(M12&gt;$AJ$3,(1/4)/24,0)</f>
        <v>0</v>
      </c>
      <c r="F12" s="27"/>
      <c r="G12" s="28">
        <v>19</v>
      </c>
      <c r="H12" s="40"/>
      <c r="I12" s="29">
        <f t="shared" si="4"/>
        <v>0.3541666666666667</v>
      </c>
      <c r="J12" s="30">
        <f t="shared" si="5"/>
        <v>0.3819444444444445</v>
      </c>
      <c r="K12" s="122" t="s">
        <v>105</v>
      </c>
      <c r="L12" s="102"/>
      <c r="M12" s="126">
        <f>AE12</f>
        <v>2</v>
      </c>
      <c r="N12" s="143">
        <f>SUM(M3:M12)/3</f>
        <v>18.666666666666668</v>
      </c>
      <c r="O12" s="130">
        <v>0</v>
      </c>
      <c r="P12" s="32" t="s">
        <v>108</v>
      </c>
      <c r="Q12" s="34" t="s">
        <v>6</v>
      </c>
      <c r="R12" s="34"/>
      <c r="S12" s="34" t="s">
        <v>3</v>
      </c>
      <c r="T12" s="77">
        <f>SUM(M$3:M12)</f>
        <v>56</v>
      </c>
      <c r="U12" s="124">
        <f t="shared" si="1"/>
        <v>2</v>
      </c>
      <c r="V12" s="77">
        <f>SUM(U$3:U12)</f>
        <v>56</v>
      </c>
      <c r="W12" s="72">
        <v>0</v>
      </c>
      <c r="X12" s="27">
        <f>SUM(W$3:W12)</f>
        <v>42</v>
      </c>
      <c r="Y12" s="35"/>
      <c r="Z12" s="35"/>
      <c r="AA12" s="37"/>
      <c r="AB12" s="36">
        <f t="shared" si="6"/>
      </c>
      <c r="AC12" s="125" t="s">
        <v>133</v>
      </c>
      <c r="AD12" s="137" t="s">
        <v>134</v>
      </c>
      <c r="AE12" s="109">
        <v>2</v>
      </c>
      <c r="AF12" s="109">
        <v>2</v>
      </c>
      <c r="AK12" s="112"/>
      <c r="AL12" s="112"/>
      <c r="AN12" s="116"/>
      <c r="AO12" s="116"/>
    </row>
    <row r="13" spans="1:41" s="4" customFormat="1" ht="12" customHeight="1">
      <c r="A13" s="24">
        <v>11</v>
      </c>
      <c r="B13" s="24">
        <v>11</v>
      </c>
      <c r="C13" s="25">
        <f>I13-(1/24)-E13</f>
        <v>0.3333333333333333</v>
      </c>
      <c r="D13" s="25">
        <f t="shared" si="2"/>
        <v>0.3472222222222222</v>
      </c>
      <c r="E13" s="26">
        <f>IF(M13&gt;$AJ$3,(1/4)/24,0)</f>
        <v>0</v>
      </c>
      <c r="F13" s="27"/>
      <c r="G13" s="28"/>
      <c r="H13" s="39">
        <v>0.020833333333333332</v>
      </c>
      <c r="I13" s="29">
        <f t="shared" si="4"/>
        <v>0.375</v>
      </c>
      <c r="J13" s="30">
        <f t="shared" si="5"/>
        <v>0.4027777777777778</v>
      </c>
      <c r="K13" s="31" t="s">
        <v>47</v>
      </c>
      <c r="L13" s="103"/>
      <c r="M13" s="126">
        <f>AE13</f>
        <v>4</v>
      </c>
      <c r="N13" s="143"/>
      <c r="O13" s="130"/>
      <c r="P13" s="32" t="s">
        <v>75</v>
      </c>
      <c r="Q13" s="32" t="s">
        <v>6</v>
      </c>
      <c r="R13" s="32"/>
      <c r="S13" s="32" t="s">
        <v>3</v>
      </c>
      <c r="T13" s="77">
        <f>SUM(M$3:M13)</f>
        <v>60</v>
      </c>
      <c r="U13" s="124">
        <f>M13*VLOOKUP(P13,BOATCLASS,2)</f>
        <v>16</v>
      </c>
      <c r="V13" s="77">
        <f>SUM(U$3:U13)</f>
        <v>72</v>
      </c>
      <c r="W13" s="72"/>
      <c r="X13" s="27"/>
      <c r="Y13" s="35"/>
      <c r="Z13" s="35"/>
      <c r="AA13" s="36"/>
      <c r="AB13" s="36">
        <f t="shared" si="6"/>
        <v>9</v>
      </c>
      <c r="AC13" s="125" t="s">
        <v>135</v>
      </c>
      <c r="AD13" s="137" t="s">
        <v>223</v>
      </c>
      <c r="AE13" s="109">
        <v>4</v>
      </c>
      <c r="AF13" s="109">
        <v>4</v>
      </c>
      <c r="AK13" s="112"/>
      <c r="AL13" s="112"/>
      <c r="AN13" s="116"/>
      <c r="AO13" s="116"/>
    </row>
    <row r="14" spans="1:41" s="4" customFormat="1" ht="12" customHeight="1">
      <c r="A14" s="24">
        <v>12</v>
      </c>
      <c r="B14" s="24">
        <v>12</v>
      </c>
      <c r="C14" s="25">
        <f>I14-(1/24)-E14</f>
        <v>0.3333333333333333</v>
      </c>
      <c r="D14" s="25">
        <f t="shared" si="2"/>
        <v>0.3472222222222222</v>
      </c>
      <c r="E14" s="26">
        <f>IF(M14&gt;$AJ$3,(1/4)/24,0)</f>
        <v>0</v>
      </c>
      <c r="F14" s="27"/>
      <c r="G14" s="28">
        <v>31</v>
      </c>
      <c r="H14" s="39"/>
      <c r="I14" s="29">
        <f t="shared" si="4"/>
        <v>0.375</v>
      </c>
      <c r="J14" s="30">
        <f t="shared" si="5"/>
        <v>0.4027777777777778</v>
      </c>
      <c r="K14" s="31" t="s">
        <v>225</v>
      </c>
      <c r="L14" s="103"/>
      <c r="M14" s="126">
        <f>AE14</f>
        <v>4</v>
      </c>
      <c r="N14" s="143"/>
      <c r="O14" s="130">
        <v>6</v>
      </c>
      <c r="P14" s="32" t="s">
        <v>75</v>
      </c>
      <c r="Q14" s="32" t="s">
        <v>6</v>
      </c>
      <c r="R14" s="32"/>
      <c r="S14" s="32" t="s">
        <v>1</v>
      </c>
      <c r="T14" s="77">
        <f>SUM(M$3:M14)</f>
        <v>64</v>
      </c>
      <c r="U14" s="124">
        <f>M14*VLOOKUP(P14,BOATCLASS,2)</f>
        <v>16</v>
      </c>
      <c r="V14" s="77">
        <f>SUM(U$3:U14)</f>
        <v>88</v>
      </c>
      <c r="W14" s="72">
        <v>6</v>
      </c>
      <c r="X14" s="27">
        <f>SUM(W$3:W14)</f>
        <v>48</v>
      </c>
      <c r="Y14" s="35">
        <v>30</v>
      </c>
      <c r="Z14" s="35">
        <f>SUM(Y$3:Y14)</f>
        <v>72</v>
      </c>
      <c r="AA14" s="36"/>
      <c r="AB14" s="36">
        <f t="shared" si="6"/>
      </c>
      <c r="AC14" s="125" t="s">
        <v>136</v>
      </c>
      <c r="AD14" s="137" t="s">
        <v>222</v>
      </c>
      <c r="AE14" s="109">
        <v>4</v>
      </c>
      <c r="AF14" s="109">
        <v>4</v>
      </c>
      <c r="AK14" s="112"/>
      <c r="AL14" s="112"/>
      <c r="AN14" s="116"/>
      <c r="AO14" s="116"/>
    </row>
    <row r="15" spans="1:41" s="5" customFormat="1" ht="12" customHeight="1">
      <c r="A15" s="24">
        <v>13</v>
      </c>
      <c r="B15" s="24">
        <v>13</v>
      </c>
      <c r="C15" s="25">
        <f>I15-(1/24)-E15</f>
        <v>0.3333333333333333</v>
      </c>
      <c r="D15" s="25">
        <f t="shared" si="2"/>
        <v>0.3472222222222222</v>
      </c>
      <c r="E15" s="26">
        <f>IF(M15&gt;$AJ$3,(1/4)/24,0)</f>
        <v>0</v>
      </c>
      <c r="F15" s="27"/>
      <c r="G15" s="28">
        <v>45</v>
      </c>
      <c r="H15" s="39"/>
      <c r="I15" s="29">
        <f t="shared" si="4"/>
        <v>0.375</v>
      </c>
      <c r="J15" s="30">
        <f t="shared" si="5"/>
        <v>0.4027777777777778</v>
      </c>
      <c r="K15" s="31" t="s">
        <v>41</v>
      </c>
      <c r="L15" s="103"/>
      <c r="M15" s="126">
        <f>AE15</f>
        <v>14</v>
      </c>
      <c r="N15" s="143">
        <f>SUM(M13:M15)/3</f>
        <v>7.333333333333333</v>
      </c>
      <c r="O15" s="130">
        <v>8</v>
      </c>
      <c r="P15" s="32" t="s">
        <v>109</v>
      </c>
      <c r="Q15" s="32" t="s">
        <v>5</v>
      </c>
      <c r="R15" s="32"/>
      <c r="S15" s="32" t="s">
        <v>3</v>
      </c>
      <c r="T15" s="77">
        <f>SUM(M$3:M15)</f>
        <v>78</v>
      </c>
      <c r="U15" s="124">
        <f>M15*VLOOKUP(P15,BOATCLASS,2)</f>
        <v>28</v>
      </c>
      <c r="V15" s="77">
        <f>SUM(U$3:U15)</f>
        <v>116</v>
      </c>
      <c r="W15" s="72">
        <v>8</v>
      </c>
      <c r="X15" s="27">
        <f>SUM(W$3:W15)</f>
        <v>56</v>
      </c>
      <c r="Y15" s="35">
        <v>16</v>
      </c>
      <c r="Z15" s="35">
        <f>SUM(Y$3:Y15)</f>
        <v>88</v>
      </c>
      <c r="AA15" s="36"/>
      <c r="AB15" s="36">
        <f t="shared" si="6"/>
      </c>
      <c r="AC15" s="125" t="s">
        <v>138</v>
      </c>
      <c r="AD15" s="137" t="s">
        <v>217</v>
      </c>
      <c r="AE15" s="109">
        <v>14</v>
      </c>
      <c r="AF15" s="109">
        <v>14</v>
      </c>
      <c r="AK15" s="113"/>
      <c r="AL15" s="113"/>
      <c r="AN15" s="116"/>
      <c r="AO15" s="116"/>
    </row>
    <row r="16" spans="1:41" s="5" customFormat="1" ht="12" customHeight="1">
      <c r="A16" s="24">
        <v>14</v>
      </c>
      <c r="B16" s="24">
        <v>14</v>
      </c>
      <c r="C16" s="25">
        <f t="shared" si="0"/>
        <v>0.3472222222222222</v>
      </c>
      <c r="D16" s="25">
        <f t="shared" si="2"/>
        <v>0.3611111111111111</v>
      </c>
      <c r="E16" s="26">
        <f t="shared" si="3"/>
        <v>0</v>
      </c>
      <c r="F16" s="27"/>
      <c r="G16" s="28">
        <v>48</v>
      </c>
      <c r="H16" s="39">
        <v>0.013888888888888888</v>
      </c>
      <c r="I16" s="29">
        <f t="shared" si="4"/>
        <v>0.3888888888888889</v>
      </c>
      <c r="J16" s="30">
        <f t="shared" si="5"/>
        <v>0.4166666666666667</v>
      </c>
      <c r="K16" s="31" t="s">
        <v>58</v>
      </c>
      <c r="L16" s="102" t="s">
        <v>90</v>
      </c>
      <c r="M16" s="126">
        <f>AE16</f>
        <v>6</v>
      </c>
      <c r="N16" s="143"/>
      <c r="O16" s="130">
        <v>3</v>
      </c>
      <c r="P16" s="32" t="s">
        <v>110</v>
      </c>
      <c r="Q16" s="32" t="s">
        <v>5</v>
      </c>
      <c r="R16" s="32"/>
      <c r="S16" s="32" t="s">
        <v>7</v>
      </c>
      <c r="T16" s="77">
        <f>SUM(M$3:M16)</f>
        <v>84</v>
      </c>
      <c r="U16" s="124">
        <f t="shared" si="1"/>
        <v>54</v>
      </c>
      <c r="V16" s="77">
        <f>SUM(U$3:U16)</f>
        <v>170</v>
      </c>
      <c r="W16" s="72">
        <v>3</v>
      </c>
      <c r="X16" s="27">
        <f>SUM(W$3:W16)</f>
        <v>59</v>
      </c>
      <c r="Y16" s="35">
        <v>27</v>
      </c>
      <c r="Z16" s="35">
        <f>SUM(Y$3:Y16)</f>
        <v>115</v>
      </c>
      <c r="AA16" s="36">
        <f>V16</f>
        <v>170</v>
      </c>
      <c r="AB16" s="36">
        <f t="shared" si="6"/>
      </c>
      <c r="AC16" s="125" t="s">
        <v>140</v>
      </c>
      <c r="AD16" s="137" t="s">
        <v>137</v>
      </c>
      <c r="AE16" s="109">
        <v>6</v>
      </c>
      <c r="AF16" s="109">
        <v>6</v>
      </c>
      <c r="AK16" s="113"/>
      <c r="AL16" s="113"/>
      <c r="AN16" s="116"/>
      <c r="AO16" s="116"/>
    </row>
    <row r="17" spans="1:41" s="5" customFormat="1" ht="12" customHeight="1">
      <c r="A17" s="24">
        <v>15</v>
      </c>
      <c r="B17" s="24">
        <v>15</v>
      </c>
      <c r="C17" s="25">
        <f t="shared" si="0"/>
        <v>0.3472222222222222</v>
      </c>
      <c r="D17" s="25">
        <f t="shared" si="2"/>
        <v>0.3611111111111111</v>
      </c>
      <c r="E17" s="26">
        <f t="shared" si="3"/>
        <v>0</v>
      </c>
      <c r="F17" s="27"/>
      <c r="G17" s="28">
        <v>49</v>
      </c>
      <c r="H17" s="39"/>
      <c r="I17" s="29">
        <f t="shared" si="4"/>
        <v>0.3888888888888889</v>
      </c>
      <c r="J17" s="30">
        <f t="shared" si="5"/>
        <v>0.4166666666666667</v>
      </c>
      <c r="K17" s="31" t="s">
        <v>59</v>
      </c>
      <c r="L17" s="102" t="s">
        <v>90</v>
      </c>
      <c r="M17" s="126">
        <f>AE17</f>
        <v>4</v>
      </c>
      <c r="N17" s="143"/>
      <c r="O17" s="130">
        <v>6</v>
      </c>
      <c r="P17" s="32" t="s">
        <v>110</v>
      </c>
      <c r="Q17" s="32" t="s">
        <v>6</v>
      </c>
      <c r="R17" s="32"/>
      <c r="S17" s="32" t="s">
        <v>7</v>
      </c>
      <c r="T17" s="77">
        <f>SUM(M$3:M17)</f>
        <v>88</v>
      </c>
      <c r="U17" s="124">
        <f t="shared" si="1"/>
        <v>36</v>
      </c>
      <c r="V17" s="77">
        <f>SUM(U$3:U17)</f>
        <v>206</v>
      </c>
      <c r="W17" s="72">
        <v>6</v>
      </c>
      <c r="X17" s="27">
        <f>SUM(W$3:W17)</f>
        <v>65</v>
      </c>
      <c r="Y17" s="35">
        <v>54</v>
      </c>
      <c r="Z17" s="35">
        <f>SUM(Y$3:Y17)</f>
        <v>169</v>
      </c>
      <c r="AA17" s="36"/>
      <c r="AB17" s="36">
        <f t="shared" si="6"/>
      </c>
      <c r="AC17" s="125" t="s">
        <v>142</v>
      </c>
      <c r="AD17" s="137" t="s">
        <v>139</v>
      </c>
      <c r="AE17" s="109">
        <v>4</v>
      </c>
      <c r="AF17" s="109">
        <v>4</v>
      </c>
      <c r="AK17" s="113"/>
      <c r="AL17" s="113"/>
      <c r="AN17" s="116"/>
      <c r="AO17" s="116"/>
    </row>
    <row r="18" spans="1:41" s="5" customFormat="1" ht="12" customHeight="1">
      <c r="A18" s="24">
        <v>16</v>
      </c>
      <c r="B18" s="24">
        <v>16</v>
      </c>
      <c r="C18" s="25">
        <f t="shared" si="0"/>
        <v>0.3472222222222222</v>
      </c>
      <c r="D18" s="25">
        <f t="shared" si="2"/>
        <v>0.3611111111111111</v>
      </c>
      <c r="E18" s="26">
        <f t="shared" si="3"/>
        <v>0</v>
      </c>
      <c r="F18" s="73"/>
      <c r="G18" s="90">
        <v>8</v>
      </c>
      <c r="H18" s="91"/>
      <c r="I18" s="29">
        <f t="shared" si="4"/>
        <v>0.3888888888888889</v>
      </c>
      <c r="J18" s="30">
        <f t="shared" si="5"/>
        <v>0.4166666666666667</v>
      </c>
      <c r="K18" s="31" t="s">
        <v>34</v>
      </c>
      <c r="L18" s="103"/>
      <c r="M18" s="126">
        <f>AE18</f>
        <v>4</v>
      </c>
      <c r="N18" s="143"/>
      <c r="O18" s="130">
        <v>18</v>
      </c>
      <c r="P18" s="32" t="s">
        <v>110</v>
      </c>
      <c r="Q18" s="44" t="s">
        <v>5</v>
      </c>
      <c r="R18" s="44"/>
      <c r="S18" s="44" t="s">
        <v>2</v>
      </c>
      <c r="T18" s="77">
        <f>SUM(M$3:M18)</f>
        <v>92</v>
      </c>
      <c r="U18" s="124">
        <f t="shared" si="1"/>
        <v>36</v>
      </c>
      <c r="V18" s="77">
        <f>SUM(U$3:U18)</f>
        <v>242</v>
      </c>
      <c r="W18" s="72">
        <v>18</v>
      </c>
      <c r="X18" s="27">
        <f>SUM(W$3:W18)</f>
        <v>83</v>
      </c>
      <c r="Y18" s="92">
        <v>162</v>
      </c>
      <c r="Z18" s="35">
        <f>SUM(Y$3:Y18)</f>
        <v>331</v>
      </c>
      <c r="AA18" s="42"/>
      <c r="AB18" s="36">
        <f t="shared" si="6"/>
      </c>
      <c r="AC18" s="125" t="s">
        <v>144</v>
      </c>
      <c r="AD18" s="137" t="s">
        <v>141</v>
      </c>
      <c r="AE18" s="109">
        <v>4</v>
      </c>
      <c r="AF18" s="109">
        <v>4</v>
      </c>
      <c r="AK18" s="113"/>
      <c r="AL18" s="113"/>
      <c r="AN18" s="116"/>
      <c r="AO18" s="116"/>
    </row>
    <row r="19" spans="1:41" s="4" customFormat="1" ht="12" customHeight="1">
      <c r="A19" s="24">
        <v>17</v>
      </c>
      <c r="B19" s="24">
        <v>17</v>
      </c>
      <c r="C19" s="25">
        <f t="shared" si="0"/>
        <v>0.3472222222222222</v>
      </c>
      <c r="D19" s="25">
        <f t="shared" si="2"/>
        <v>0.3611111111111111</v>
      </c>
      <c r="E19" s="26">
        <f t="shared" si="3"/>
        <v>0</v>
      </c>
      <c r="F19" s="27"/>
      <c r="G19" s="28">
        <v>1</v>
      </c>
      <c r="H19" s="39"/>
      <c r="I19" s="29">
        <f t="shared" si="4"/>
        <v>0.3888888888888889</v>
      </c>
      <c r="J19" s="30">
        <f t="shared" si="5"/>
        <v>0.4166666666666667</v>
      </c>
      <c r="K19" s="31" t="s">
        <v>25</v>
      </c>
      <c r="L19" s="103"/>
      <c r="M19" s="126">
        <f>AE19</f>
        <v>16</v>
      </c>
      <c r="N19" s="143">
        <f>SUM(M16:M19)/3</f>
        <v>10</v>
      </c>
      <c r="O19" s="130">
        <v>10</v>
      </c>
      <c r="P19" s="32" t="s">
        <v>111</v>
      </c>
      <c r="Q19" s="32" t="s">
        <v>5</v>
      </c>
      <c r="R19" s="32"/>
      <c r="S19" s="32" t="s">
        <v>2</v>
      </c>
      <c r="T19" s="77">
        <f>SUM(M$3:M19)</f>
        <v>108</v>
      </c>
      <c r="U19" s="124">
        <f t="shared" si="1"/>
        <v>80</v>
      </c>
      <c r="V19" s="77">
        <f>SUM(U$3:U19)</f>
        <v>322</v>
      </c>
      <c r="W19" s="72">
        <v>10</v>
      </c>
      <c r="X19" s="27">
        <f>SUM(W$3:W19)</f>
        <v>93</v>
      </c>
      <c r="Y19" s="35">
        <v>50</v>
      </c>
      <c r="Z19" s="35">
        <f>SUM(Y$3:Y19)</f>
        <v>381</v>
      </c>
      <c r="AA19" s="36"/>
      <c r="AB19" s="36">
        <f t="shared" si="6"/>
      </c>
      <c r="AC19" s="125" t="s">
        <v>146</v>
      </c>
      <c r="AD19" s="137" t="s">
        <v>143</v>
      </c>
      <c r="AE19" s="109">
        <v>16</v>
      </c>
      <c r="AF19" s="109">
        <v>16</v>
      </c>
      <c r="AK19" s="112"/>
      <c r="AL19" s="112"/>
      <c r="AN19" s="116"/>
      <c r="AO19" s="116"/>
    </row>
    <row r="20" spans="1:41" s="5" customFormat="1" ht="12" customHeight="1">
      <c r="A20" s="24">
        <v>18</v>
      </c>
      <c r="B20" s="24">
        <v>18</v>
      </c>
      <c r="C20" s="25">
        <f>I20-(1/24)-E20</f>
        <v>0.3506944444444444</v>
      </c>
      <c r="D20" s="25">
        <f t="shared" si="2"/>
        <v>0.3645833333333333</v>
      </c>
      <c r="E20" s="26">
        <f>IF(M20&gt;$AJ$3,(1/4)/24,0)</f>
        <v>0.010416666666666666</v>
      </c>
      <c r="F20" s="27"/>
      <c r="G20" s="28">
        <v>10</v>
      </c>
      <c r="H20" s="39">
        <v>0.003472222222222222</v>
      </c>
      <c r="I20" s="29">
        <f t="shared" si="4"/>
        <v>0.4027777777777778</v>
      </c>
      <c r="J20" s="30">
        <f t="shared" si="5"/>
        <v>0.4305555555555556</v>
      </c>
      <c r="K20" s="123" t="s">
        <v>106</v>
      </c>
      <c r="L20" s="103"/>
      <c r="M20" s="126">
        <f>AE20</f>
        <v>25</v>
      </c>
      <c r="N20" s="143"/>
      <c r="O20" s="130">
        <v>0</v>
      </c>
      <c r="P20" s="32" t="s">
        <v>110</v>
      </c>
      <c r="Q20" s="32" t="s">
        <v>5</v>
      </c>
      <c r="R20" s="32"/>
      <c r="S20" s="32" t="s">
        <v>2</v>
      </c>
      <c r="T20" s="77"/>
      <c r="U20" s="124">
        <f>M20*VLOOKUP(P20,BOATCLASS,2)</f>
        <v>225</v>
      </c>
      <c r="V20" s="77"/>
      <c r="W20" s="72"/>
      <c r="X20" s="27"/>
      <c r="Y20" s="35"/>
      <c r="Z20" s="35"/>
      <c r="AA20" s="36"/>
      <c r="AB20" s="36">
        <f t="shared" si="6"/>
      </c>
      <c r="AC20" s="125" t="s">
        <v>148</v>
      </c>
      <c r="AD20" s="137" t="s">
        <v>179</v>
      </c>
      <c r="AE20" s="109">
        <v>25</v>
      </c>
      <c r="AF20" s="109">
        <v>25</v>
      </c>
      <c r="AK20" s="113"/>
      <c r="AL20" s="113"/>
      <c r="AN20" s="116"/>
      <c r="AO20" s="116"/>
    </row>
    <row r="21" spans="1:41" s="4" customFormat="1" ht="12" customHeight="1">
      <c r="A21" s="24">
        <v>19</v>
      </c>
      <c r="B21" s="24">
        <v>19</v>
      </c>
      <c r="C21" s="25">
        <f>I21-(1/24)-E21</f>
        <v>0.3645833333333333</v>
      </c>
      <c r="D21" s="25">
        <f t="shared" si="2"/>
        <v>0.3784722222222222</v>
      </c>
      <c r="E21" s="26">
        <f>IF(M21&gt;$AJ$3,(1/4)/24,0)</f>
        <v>0.010416666666666666</v>
      </c>
      <c r="F21" s="27"/>
      <c r="G21" s="28">
        <v>7</v>
      </c>
      <c r="H21" s="39">
        <v>0.003472222222222222</v>
      </c>
      <c r="I21" s="29">
        <f t="shared" si="4"/>
        <v>0.4166666666666667</v>
      </c>
      <c r="J21" s="30">
        <f t="shared" si="5"/>
        <v>0.4444444444444445</v>
      </c>
      <c r="K21" s="31" t="s">
        <v>63</v>
      </c>
      <c r="L21" s="103"/>
      <c r="M21" s="126">
        <f>AE21</f>
        <v>27</v>
      </c>
      <c r="N21" s="143"/>
      <c r="O21" s="130">
        <v>14</v>
      </c>
      <c r="P21" s="32" t="s">
        <v>76</v>
      </c>
      <c r="Q21" s="32" t="s">
        <v>6</v>
      </c>
      <c r="R21" s="32"/>
      <c r="S21" s="32" t="s">
        <v>13</v>
      </c>
      <c r="T21" s="77">
        <f>SUM(M$3:M23)</f>
        <v>166</v>
      </c>
      <c r="U21" s="124">
        <f>M21*VLOOKUP(P21,BOATCLASS,2)</f>
        <v>54</v>
      </c>
      <c r="V21" s="77">
        <f>SUM(U$3:U23)</f>
        <v>613</v>
      </c>
      <c r="W21" s="72">
        <v>14</v>
      </c>
      <c r="X21" s="27">
        <f>SUM(W$3:W23)</f>
        <v>119</v>
      </c>
      <c r="Y21" s="35">
        <v>28</v>
      </c>
      <c r="Z21" s="35">
        <f>SUM(Y$3:Y23)</f>
        <v>433</v>
      </c>
      <c r="AA21" s="36"/>
      <c r="AB21" s="36">
        <f t="shared" si="6"/>
        <v>10</v>
      </c>
      <c r="AC21" s="125" t="s">
        <v>150</v>
      </c>
      <c r="AD21" s="137" t="s">
        <v>151</v>
      </c>
      <c r="AE21" s="109">
        <v>27</v>
      </c>
      <c r="AF21" s="109">
        <v>27</v>
      </c>
      <c r="AK21" s="112"/>
      <c r="AL21" s="112"/>
      <c r="AN21" s="116"/>
      <c r="AO21" s="116"/>
    </row>
    <row r="22" spans="1:41" s="4" customFormat="1" ht="12" customHeight="1">
      <c r="A22" s="24">
        <v>20</v>
      </c>
      <c r="B22" s="24">
        <v>20</v>
      </c>
      <c r="C22" s="25">
        <f t="shared" si="0"/>
        <v>0.375</v>
      </c>
      <c r="D22" s="25">
        <f t="shared" si="2"/>
        <v>0.3888888888888889</v>
      </c>
      <c r="E22" s="26">
        <f t="shared" si="3"/>
        <v>0</v>
      </c>
      <c r="F22" s="27"/>
      <c r="G22" s="28">
        <v>5</v>
      </c>
      <c r="H22" s="39"/>
      <c r="I22" s="29">
        <f t="shared" si="4"/>
        <v>0.4166666666666667</v>
      </c>
      <c r="J22" s="30">
        <f t="shared" si="5"/>
        <v>0.4444444444444445</v>
      </c>
      <c r="K22" s="31" t="s">
        <v>49</v>
      </c>
      <c r="L22" s="103"/>
      <c r="M22" s="126">
        <f>AE22</f>
        <v>3</v>
      </c>
      <c r="N22" s="143"/>
      <c r="O22" s="130">
        <v>4</v>
      </c>
      <c r="P22" s="32" t="s">
        <v>76</v>
      </c>
      <c r="Q22" s="32" t="s">
        <v>6</v>
      </c>
      <c r="R22" s="32"/>
      <c r="S22" s="32" t="s">
        <v>3</v>
      </c>
      <c r="T22" s="77">
        <f>SUM(M$3:M22)</f>
        <v>163</v>
      </c>
      <c r="U22" s="124">
        <f t="shared" si="1"/>
        <v>6</v>
      </c>
      <c r="V22" s="77">
        <f>SUM(U$3:U22)</f>
        <v>607</v>
      </c>
      <c r="W22" s="72">
        <v>4</v>
      </c>
      <c r="X22" s="27">
        <f>SUM(W$3:W22)</f>
        <v>111</v>
      </c>
      <c r="Y22" s="35">
        <v>8</v>
      </c>
      <c r="Z22" s="35">
        <f>SUM(Y$3:Y22)</f>
        <v>417</v>
      </c>
      <c r="AA22" s="36"/>
      <c r="AB22" s="36">
        <f t="shared" si="6"/>
      </c>
      <c r="AC22" s="125" t="s">
        <v>152</v>
      </c>
      <c r="AD22" s="137" t="s">
        <v>147</v>
      </c>
      <c r="AE22" s="109">
        <v>3</v>
      </c>
      <c r="AF22" s="109">
        <v>3</v>
      </c>
      <c r="AK22" s="112"/>
      <c r="AL22" s="112"/>
      <c r="AN22" s="116"/>
      <c r="AO22" s="116"/>
    </row>
    <row r="23" spans="1:41" s="4" customFormat="1" ht="12" customHeight="1">
      <c r="A23" s="24">
        <v>21</v>
      </c>
      <c r="B23" s="24">
        <v>21</v>
      </c>
      <c r="C23" s="25">
        <f t="shared" si="0"/>
        <v>0.375</v>
      </c>
      <c r="D23" s="25">
        <f t="shared" si="2"/>
        <v>0.3888888888888889</v>
      </c>
      <c r="E23" s="26">
        <f t="shared" si="3"/>
        <v>0</v>
      </c>
      <c r="F23" s="27"/>
      <c r="G23" s="28">
        <v>6</v>
      </c>
      <c r="H23" s="24"/>
      <c r="I23" s="29">
        <f t="shared" si="4"/>
        <v>0.4166666666666667</v>
      </c>
      <c r="J23" s="30">
        <f t="shared" si="5"/>
        <v>0.4444444444444445</v>
      </c>
      <c r="K23" s="31" t="s">
        <v>50</v>
      </c>
      <c r="L23" s="102" t="s">
        <v>90</v>
      </c>
      <c r="M23" s="126">
        <f>AE23</f>
        <v>3</v>
      </c>
      <c r="N23" s="143">
        <f>SUM(M21:M23)/3</f>
        <v>11</v>
      </c>
      <c r="O23" s="130">
        <v>8</v>
      </c>
      <c r="P23" s="32" t="s">
        <v>76</v>
      </c>
      <c r="Q23" s="32" t="s">
        <v>6</v>
      </c>
      <c r="R23" s="32"/>
      <c r="S23" s="32" t="s">
        <v>7</v>
      </c>
      <c r="T23" s="77">
        <f>SUM(M$3:M23)</f>
        <v>166</v>
      </c>
      <c r="U23" s="124">
        <f t="shared" si="1"/>
        <v>6</v>
      </c>
      <c r="V23" s="77">
        <f>SUM(U$3:U23)</f>
        <v>613</v>
      </c>
      <c r="W23" s="72">
        <v>8</v>
      </c>
      <c r="X23" s="27">
        <f>SUM(W$3:W23)</f>
        <v>119</v>
      </c>
      <c r="Y23" s="35">
        <v>16</v>
      </c>
      <c r="Z23" s="35">
        <f>SUM(Y$3:Y23)</f>
        <v>433</v>
      </c>
      <c r="AA23" s="36"/>
      <c r="AB23" s="36">
        <f t="shared" si="6"/>
      </c>
      <c r="AC23" s="125" t="s">
        <v>154</v>
      </c>
      <c r="AD23" s="137" t="s">
        <v>149</v>
      </c>
      <c r="AE23" s="109">
        <v>3</v>
      </c>
      <c r="AF23" s="109">
        <v>3</v>
      </c>
      <c r="AK23" s="112"/>
      <c r="AL23" s="112"/>
      <c r="AN23" s="116"/>
      <c r="AO23" s="116"/>
    </row>
    <row r="24" spans="1:41" s="4" customFormat="1" ht="12" customHeight="1">
      <c r="A24" s="24">
        <v>22</v>
      </c>
      <c r="B24" s="24">
        <v>22</v>
      </c>
      <c r="C24" s="25">
        <f>I24-(1/24)-E24</f>
        <v>0.3784722222222222</v>
      </c>
      <c r="D24" s="25">
        <f t="shared" si="2"/>
        <v>0.3923611111111111</v>
      </c>
      <c r="E24" s="26">
        <f>IF(M24&gt;$AJ$3,(1/4)/24,0)</f>
        <v>0.010416666666666666</v>
      </c>
      <c r="F24" s="27"/>
      <c r="G24" s="28">
        <v>2</v>
      </c>
      <c r="H24" s="39">
        <v>0.003472222222222222</v>
      </c>
      <c r="I24" s="29">
        <f t="shared" si="4"/>
        <v>0.4305555555555556</v>
      </c>
      <c r="J24" s="30">
        <f t="shared" si="5"/>
        <v>0.45833333333333337</v>
      </c>
      <c r="K24" s="31" t="s">
        <v>26</v>
      </c>
      <c r="L24" s="103"/>
      <c r="M24" s="126">
        <f>AE24</f>
        <v>39</v>
      </c>
      <c r="N24" s="143">
        <f>M24/3</f>
        <v>13</v>
      </c>
      <c r="O24" s="130">
        <v>38</v>
      </c>
      <c r="P24" s="32" t="s">
        <v>111</v>
      </c>
      <c r="Q24" s="32" t="s">
        <v>5</v>
      </c>
      <c r="R24" s="32"/>
      <c r="S24" s="32" t="s">
        <v>12</v>
      </c>
      <c r="T24" s="77">
        <f>SUM(M$3:M24)</f>
        <v>205</v>
      </c>
      <c r="U24" s="124">
        <f>M24*VLOOKUP(P24,BOATCLASS,2)</f>
        <v>195</v>
      </c>
      <c r="V24" s="77">
        <f>SUM(U$3:U24)</f>
        <v>808</v>
      </c>
      <c r="W24" s="72">
        <v>38</v>
      </c>
      <c r="X24" s="27">
        <f>SUM(W$3:W24)</f>
        <v>157</v>
      </c>
      <c r="Y24" s="35">
        <v>190</v>
      </c>
      <c r="Z24" s="35">
        <f>SUM(Y$3:Y24)</f>
        <v>623</v>
      </c>
      <c r="AA24" s="36">
        <f>V24-V16</f>
        <v>638</v>
      </c>
      <c r="AB24" s="36">
        <f t="shared" si="6"/>
      </c>
      <c r="AC24" s="125" t="s">
        <v>156</v>
      </c>
      <c r="AD24" s="137" t="s">
        <v>145</v>
      </c>
      <c r="AE24" s="109">
        <v>39</v>
      </c>
      <c r="AF24" s="109">
        <v>39</v>
      </c>
      <c r="AK24" s="112"/>
      <c r="AL24" s="112"/>
      <c r="AN24" s="116"/>
      <c r="AO24" s="116"/>
    </row>
    <row r="25" spans="1:41" s="4" customFormat="1" ht="12" customHeight="1">
      <c r="A25" s="24">
        <v>23</v>
      </c>
      <c r="B25" s="24">
        <v>23</v>
      </c>
      <c r="C25" s="25">
        <f t="shared" si="0"/>
        <v>0.4027777777777778</v>
      </c>
      <c r="D25" s="25">
        <f t="shared" si="2"/>
        <v>0.4166666666666667</v>
      </c>
      <c r="E25" s="26">
        <f t="shared" si="3"/>
        <v>0</v>
      </c>
      <c r="F25" s="27"/>
      <c r="G25" s="28">
        <v>32</v>
      </c>
      <c r="H25" s="39">
        <v>0.013888888888888888</v>
      </c>
      <c r="I25" s="29">
        <f t="shared" si="4"/>
        <v>0.4444444444444445</v>
      </c>
      <c r="J25" s="30">
        <f t="shared" si="5"/>
        <v>0.47222222222222227</v>
      </c>
      <c r="K25" s="31" t="s">
        <v>27</v>
      </c>
      <c r="L25" s="103"/>
      <c r="M25" s="126">
        <f>AE25</f>
        <v>11</v>
      </c>
      <c r="N25" s="143"/>
      <c r="O25" s="130">
        <v>7</v>
      </c>
      <c r="P25" s="32" t="s">
        <v>108</v>
      </c>
      <c r="Q25" s="32" t="s">
        <v>5</v>
      </c>
      <c r="R25" s="32"/>
      <c r="S25" s="32" t="s">
        <v>3</v>
      </c>
      <c r="T25" s="77">
        <f>SUM(M$3:M25)</f>
        <v>216</v>
      </c>
      <c r="U25" s="124">
        <f t="shared" si="1"/>
        <v>11</v>
      </c>
      <c r="V25" s="77">
        <f>SUM(U$3:U25)</f>
        <v>819</v>
      </c>
      <c r="W25" s="72">
        <v>7</v>
      </c>
      <c r="X25" s="27">
        <f>SUM(W$3:W25)</f>
        <v>164</v>
      </c>
      <c r="Y25" s="35">
        <v>7</v>
      </c>
      <c r="Z25" s="35">
        <f>SUM(Y$3:Y25)</f>
        <v>630</v>
      </c>
      <c r="AA25" s="36"/>
      <c r="AB25" s="36">
        <f t="shared" si="6"/>
      </c>
      <c r="AC25" s="125" t="s">
        <v>158</v>
      </c>
      <c r="AD25" s="137" t="s">
        <v>153</v>
      </c>
      <c r="AE25" s="109">
        <v>11</v>
      </c>
      <c r="AF25" s="109">
        <v>11</v>
      </c>
      <c r="AK25" s="112"/>
      <c r="AL25" s="112"/>
      <c r="AN25" s="116"/>
      <c r="AO25" s="116"/>
    </row>
    <row r="26" spans="1:41" s="4" customFormat="1" ht="12" customHeight="1">
      <c r="A26" s="24">
        <v>24</v>
      </c>
      <c r="B26" s="24">
        <v>24</v>
      </c>
      <c r="C26" s="25">
        <f t="shared" si="0"/>
        <v>0.4027777777777778</v>
      </c>
      <c r="D26" s="25">
        <f t="shared" si="2"/>
        <v>0.4166666666666667</v>
      </c>
      <c r="E26" s="26">
        <f t="shared" si="3"/>
        <v>0</v>
      </c>
      <c r="F26" s="27"/>
      <c r="G26" s="28">
        <v>33</v>
      </c>
      <c r="H26" s="24"/>
      <c r="I26" s="29">
        <f t="shared" si="4"/>
        <v>0.4444444444444445</v>
      </c>
      <c r="J26" s="30">
        <f t="shared" si="5"/>
        <v>0.47222222222222227</v>
      </c>
      <c r="K26" s="31" t="s">
        <v>28</v>
      </c>
      <c r="L26" s="103"/>
      <c r="M26" s="126">
        <f>AE26</f>
        <v>3</v>
      </c>
      <c r="N26" s="143"/>
      <c r="O26" s="130">
        <v>5</v>
      </c>
      <c r="P26" s="32" t="s">
        <v>108</v>
      </c>
      <c r="Q26" s="32" t="s">
        <v>5</v>
      </c>
      <c r="R26" s="32" t="s">
        <v>74</v>
      </c>
      <c r="S26" s="32" t="s">
        <v>3</v>
      </c>
      <c r="T26" s="77">
        <f>SUM(M$3:M26)</f>
        <v>219</v>
      </c>
      <c r="U26" s="124">
        <f t="shared" si="1"/>
        <v>3</v>
      </c>
      <c r="V26" s="77">
        <f>SUM(U$3:U26)</f>
        <v>822</v>
      </c>
      <c r="W26" s="72">
        <v>5</v>
      </c>
      <c r="X26" s="27">
        <f>SUM(W$3:W26)</f>
        <v>169</v>
      </c>
      <c r="Y26" s="35">
        <v>5</v>
      </c>
      <c r="Z26" s="35">
        <f>SUM(Y$3:Y26)</f>
        <v>635</v>
      </c>
      <c r="AA26" s="36"/>
      <c r="AB26" s="36">
        <f t="shared" si="6"/>
      </c>
      <c r="AC26" s="125" t="s">
        <v>160</v>
      </c>
      <c r="AD26" s="137" t="s">
        <v>155</v>
      </c>
      <c r="AE26" s="109">
        <v>3</v>
      </c>
      <c r="AF26" s="109">
        <v>3</v>
      </c>
      <c r="AK26" s="112"/>
      <c r="AL26" s="112"/>
      <c r="AN26" s="116"/>
      <c r="AO26" s="116"/>
    </row>
    <row r="27" spans="1:41" s="4" customFormat="1" ht="12" customHeight="1">
      <c r="A27" s="24">
        <v>25</v>
      </c>
      <c r="B27" s="24">
        <v>25</v>
      </c>
      <c r="C27" s="25">
        <f t="shared" si="0"/>
        <v>0.4027777777777778</v>
      </c>
      <c r="D27" s="25">
        <f t="shared" si="2"/>
        <v>0.4166666666666667</v>
      </c>
      <c r="E27" s="26">
        <f t="shared" si="3"/>
        <v>0</v>
      </c>
      <c r="F27" s="27"/>
      <c r="G27" s="28">
        <v>34</v>
      </c>
      <c r="H27" s="24"/>
      <c r="I27" s="29">
        <f t="shared" si="4"/>
        <v>0.4444444444444445</v>
      </c>
      <c r="J27" s="30">
        <f t="shared" si="5"/>
        <v>0.47222222222222227</v>
      </c>
      <c r="K27" s="31" t="s">
        <v>29</v>
      </c>
      <c r="L27" s="103"/>
      <c r="M27" s="126">
        <f>AE27</f>
        <v>5</v>
      </c>
      <c r="N27" s="143"/>
      <c r="O27" s="130">
        <v>9</v>
      </c>
      <c r="P27" s="32" t="s">
        <v>108</v>
      </c>
      <c r="Q27" s="32" t="s">
        <v>5</v>
      </c>
      <c r="R27" s="32"/>
      <c r="S27" s="32" t="s">
        <v>13</v>
      </c>
      <c r="T27" s="77">
        <f>SUM(M$3:M27)</f>
        <v>224</v>
      </c>
      <c r="U27" s="124">
        <f t="shared" si="1"/>
        <v>5</v>
      </c>
      <c r="V27" s="77">
        <f>SUM(U$3:U27)</f>
        <v>827</v>
      </c>
      <c r="W27" s="72">
        <v>9</v>
      </c>
      <c r="X27" s="27">
        <f>SUM(W$3:W27)</f>
        <v>178</v>
      </c>
      <c r="Y27" s="35">
        <v>9</v>
      </c>
      <c r="Z27" s="35">
        <f>SUM(Y$3:Y27)</f>
        <v>644</v>
      </c>
      <c r="AA27" s="36"/>
      <c r="AB27" s="36">
        <f t="shared" si="6"/>
      </c>
      <c r="AC27" s="125" t="s">
        <v>162</v>
      </c>
      <c r="AD27" s="137" t="s">
        <v>157</v>
      </c>
      <c r="AE27" s="109">
        <v>5</v>
      </c>
      <c r="AF27" s="109">
        <v>5</v>
      </c>
      <c r="AK27" s="112"/>
      <c r="AL27" s="112"/>
      <c r="AN27" s="116"/>
      <c r="AO27" s="116"/>
    </row>
    <row r="28" spans="1:41" s="4" customFormat="1" ht="12" customHeight="1">
      <c r="A28" s="24">
        <v>26</v>
      </c>
      <c r="B28" s="24">
        <v>26</v>
      </c>
      <c r="C28" s="25">
        <f t="shared" si="0"/>
        <v>0.4027777777777778</v>
      </c>
      <c r="D28" s="25">
        <f t="shared" si="2"/>
        <v>0.4166666666666667</v>
      </c>
      <c r="E28" s="26">
        <f t="shared" si="3"/>
        <v>0</v>
      </c>
      <c r="F28" s="27"/>
      <c r="G28" s="28">
        <v>35</v>
      </c>
      <c r="H28" s="24"/>
      <c r="I28" s="29">
        <f t="shared" si="4"/>
        <v>0.4444444444444445</v>
      </c>
      <c r="J28" s="30">
        <f t="shared" si="5"/>
        <v>0.47222222222222227</v>
      </c>
      <c r="K28" s="31" t="s">
        <v>30</v>
      </c>
      <c r="L28" s="103"/>
      <c r="M28" s="126">
        <f>AE28</f>
        <v>10</v>
      </c>
      <c r="N28" s="143">
        <f>SUM(M25:M28)/3</f>
        <v>9.666666666666666</v>
      </c>
      <c r="O28" s="130">
        <v>10</v>
      </c>
      <c r="P28" s="32" t="s">
        <v>108</v>
      </c>
      <c r="Q28" s="32" t="s">
        <v>5</v>
      </c>
      <c r="R28" s="32"/>
      <c r="S28" s="32" t="s">
        <v>2</v>
      </c>
      <c r="T28" s="77">
        <f>SUM(M$3:M28)</f>
        <v>234</v>
      </c>
      <c r="U28" s="124">
        <f t="shared" si="1"/>
        <v>10</v>
      </c>
      <c r="V28" s="77">
        <f>SUM(U$3:U28)</f>
        <v>837</v>
      </c>
      <c r="W28" s="72">
        <v>10</v>
      </c>
      <c r="X28" s="27">
        <f>SUM(W$3:W28)</f>
        <v>188</v>
      </c>
      <c r="Y28" s="35">
        <v>10</v>
      </c>
      <c r="Z28" s="35">
        <f>SUM(Y$3:Y28)</f>
        <v>654</v>
      </c>
      <c r="AA28" s="36"/>
      <c r="AB28" s="36">
        <f t="shared" si="6"/>
      </c>
      <c r="AC28" s="125" t="s">
        <v>164</v>
      </c>
      <c r="AD28" s="137" t="s">
        <v>159</v>
      </c>
      <c r="AE28" s="109">
        <v>10</v>
      </c>
      <c r="AF28" s="109">
        <v>10</v>
      </c>
      <c r="AK28" s="112"/>
      <c r="AL28" s="112"/>
      <c r="AN28" s="116"/>
      <c r="AO28" s="116"/>
    </row>
    <row r="29" spans="1:41" s="4" customFormat="1" ht="12" customHeight="1">
      <c r="A29" s="24">
        <v>27</v>
      </c>
      <c r="B29" s="24">
        <v>27</v>
      </c>
      <c r="C29" s="25">
        <f t="shared" si="0"/>
        <v>0.4097222222222222</v>
      </c>
      <c r="D29" s="25">
        <f t="shared" si="2"/>
        <v>0.4236111111111111</v>
      </c>
      <c r="E29" s="26">
        <f t="shared" si="3"/>
        <v>0</v>
      </c>
      <c r="F29" s="27"/>
      <c r="G29" s="28">
        <v>3</v>
      </c>
      <c r="H29" s="39">
        <v>0.006944444444444444</v>
      </c>
      <c r="I29" s="29">
        <f t="shared" si="4"/>
        <v>0.4513888888888889</v>
      </c>
      <c r="J29" s="30">
        <f t="shared" si="5"/>
        <v>0.4791666666666667</v>
      </c>
      <c r="K29" s="31" t="s">
        <v>48</v>
      </c>
      <c r="L29" s="103"/>
      <c r="M29" s="126">
        <f>AE29</f>
        <v>8</v>
      </c>
      <c r="N29" s="143"/>
      <c r="O29" s="130">
        <v>8</v>
      </c>
      <c r="P29" s="32" t="s">
        <v>111</v>
      </c>
      <c r="Q29" s="34" t="s">
        <v>6</v>
      </c>
      <c r="R29" s="34"/>
      <c r="S29" s="34" t="s">
        <v>2</v>
      </c>
      <c r="T29" s="77">
        <f>SUM(M$3:M29)</f>
        <v>242</v>
      </c>
      <c r="U29" s="124">
        <f t="shared" si="1"/>
        <v>40</v>
      </c>
      <c r="V29" s="77">
        <f>SUM(U$3:U29)</f>
        <v>877</v>
      </c>
      <c r="W29" s="72">
        <v>8</v>
      </c>
      <c r="X29" s="27">
        <f>SUM(W$3:W29)</f>
        <v>196</v>
      </c>
      <c r="Y29" s="35">
        <v>40</v>
      </c>
      <c r="Z29" s="35">
        <f>SUM(Y$3:Y29)</f>
        <v>694</v>
      </c>
      <c r="AA29" s="36"/>
      <c r="AB29" s="36">
        <f t="shared" si="6"/>
      </c>
      <c r="AC29" s="125" t="s">
        <v>166</v>
      </c>
      <c r="AD29" s="137" t="s">
        <v>161</v>
      </c>
      <c r="AE29" s="109">
        <v>8</v>
      </c>
      <c r="AF29" s="109">
        <v>8</v>
      </c>
      <c r="AK29" s="112"/>
      <c r="AL29" s="112"/>
      <c r="AN29" s="116"/>
      <c r="AO29" s="116"/>
    </row>
    <row r="30" spans="1:41" s="4" customFormat="1" ht="12" customHeight="1">
      <c r="A30" s="24">
        <v>28</v>
      </c>
      <c r="B30" s="24">
        <v>28</v>
      </c>
      <c r="C30" s="25">
        <f t="shared" si="0"/>
        <v>0.4097222222222222</v>
      </c>
      <c r="D30" s="25">
        <f t="shared" si="2"/>
        <v>0.4236111111111111</v>
      </c>
      <c r="E30" s="26">
        <v>0</v>
      </c>
      <c r="F30" s="27"/>
      <c r="G30" s="28">
        <v>4</v>
      </c>
      <c r="H30" s="39"/>
      <c r="I30" s="29">
        <f t="shared" si="4"/>
        <v>0.4513888888888889</v>
      </c>
      <c r="J30" s="30">
        <f t="shared" si="5"/>
        <v>0.4791666666666667</v>
      </c>
      <c r="K30" s="31" t="s">
        <v>61</v>
      </c>
      <c r="L30" s="103"/>
      <c r="M30" s="126">
        <f>AE30</f>
        <v>41</v>
      </c>
      <c r="N30" s="143">
        <f>(M30+M29)/3</f>
        <v>16.333333333333332</v>
      </c>
      <c r="O30" s="130">
        <v>31</v>
      </c>
      <c r="P30" s="32" t="s">
        <v>111</v>
      </c>
      <c r="Q30" s="32" t="s">
        <v>6</v>
      </c>
      <c r="R30" s="32"/>
      <c r="S30" s="32" t="s">
        <v>1</v>
      </c>
      <c r="T30" s="77">
        <f>SUM(M$3:M30)</f>
        <v>283</v>
      </c>
      <c r="U30" s="124">
        <f t="shared" si="1"/>
        <v>205</v>
      </c>
      <c r="V30" s="77">
        <f>SUM(U$3:U30)</f>
        <v>1082</v>
      </c>
      <c r="W30" s="72">
        <v>31</v>
      </c>
      <c r="X30" s="27">
        <f>SUM(W$3:W30)</f>
        <v>227</v>
      </c>
      <c r="Y30" s="35">
        <v>155</v>
      </c>
      <c r="Z30" s="35">
        <f>SUM(Y$3:Y30)</f>
        <v>849</v>
      </c>
      <c r="AA30" s="36"/>
      <c r="AB30" s="36">
        <f t="shared" si="6"/>
      </c>
      <c r="AC30" s="125" t="s">
        <v>168</v>
      </c>
      <c r="AD30" s="137" t="s">
        <v>163</v>
      </c>
      <c r="AE30" s="109">
        <v>41</v>
      </c>
      <c r="AF30" s="109">
        <v>41</v>
      </c>
      <c r="AK30" s="112"/>
      <c r="AL30" s="112"/>
      <c r="AN30" s="116"/>
      <c r="AO30" s="116"/>
    </row>
    <row r="31" spans="1:41" s="5" customFormat="1" ht="12" customHeight="1">
      <c r="A31" s="24">
        <v>29</v>
      </c>
      <c r="B31" s="24">
        <v>29</v>
      </c>
      <c r="C31" s="25">
        <f t="shared" si="0"/>
        <v>0.4236111111111111</v>
      </c>
      <c r="D31" s="25">
        <f t="shared" si="2"/>
        <v>0.4375</v>
      </c>
      <c r="E31" s="26">
        <f t="shared" si="3"/>
        <v>0</v>
      </c>
      <c r="F31" s="27"/>
      <c r="G31" s="28">
        <v>30</v>
      </c>
      <c r="H31" s="39">
        <v>0.013888888888888888</v>
      </c>
      <c r="I31" s="29">
        <f t="shared" si="4"/>
        <v>0.4652777777777778</v>
      </c>
      <c r="J31" s="30">
        <f t="shared" si="5"/>
        <v>0.4930555555555556</v>
      </c>
      <c r="K31" s="31" t="s">
        <v>36</v>
      </c>
      <c r="L31" s="105"/>
      <c r="M31" s="126">
        <f>AE31</f>
        <v>2</v>
      </c>
      <c r="N31" s="143"/>
      <c r="O31" s="130">
        <v>1</v>
      </c>
      <c r="P31" s="32" t="s">
        <v>75</v>
      </c>
      <c r="Q31" s="32" t="s">
        <v>5</v>
      </c>
      <c r="R31" s="32"/>
      <c r="S31" s="32" t="s">
        <v>3</v>
      </c>
      <c r="T31" s="77">
        <f>SUM(M$3:M31)</f>
        <v>285</v>
      </c>
      <c r="U31" s="124">
        <f t="shared" si="1"/>
        <v>8</v>
      </c>
      <c r="V31" s="77">
        <f>SUM(U$3:U31)</f>
        <v>1090</v>
      </c>
      <c r="W31" s="72">
        <v>1</v>
      </c>
      <c r="X31" s="27">
        <f>SUM(W$3:W31)</f>
        <v>228</v>
      </c>
      <c r="Y31" s="35">
        <v>5</v>
      </c>
      <c r="Z31" s="35">
        <f>SUM(Y$3:Y31)</f>
        <v>854</v>
      </c>
      <c r="AA31" s="36"/>
      <c r="AB31" s="36">
        <f t="shared" si="6"/>
        <v>11</v>
      </c>
      <c r="AC31" s="125" t="s">
        <v>170</v>
      </c>
      <c r="AD31" s="137" t="s">
        <v>167</v>
      </c>
      <c r="AE31" s="109">
        <v>2</v>
      </c>
      <c r="AF31" s="109">
        <v>2</v>
      </c>
      <c r="AK31" s="113"/>
      <c r="AL31" s="113"/>
      <c r="AN31" s="116"/>
      <c r="AO31" s="116"/>
    </row>
    <row r="32" spans="1:41" s="5" customFormat="1" ht="12" customHeight="1">
      <c r="A32" s="24">
        <v>30</v>
      </c>
      <c r="B32" s="24">
        <v>30</v>
      </c>
      <c r="C32" s="25">
        <f t="shared" si="0"/>
        <v>0.4305555555555555</v>
      </c>
      <c r="D32" s="25">
        <f t="shared" si="2"/>
        <v>0.4444444444444444</v>
      </c>
      <c r="E32" s="26">
        <f t="shared" si="3"/>
        <v>0</v>
      </c>
      <c r="F32" s="72"/>
      <c r="G32" s="87">
        <v>28</v>
      </c>
      <c r="H32" s="140">
        <v>0.006944444444444444</v>
      </c>
      <c r="I32" s="29">
        <f t="shared" si="4"/>
        <v>0.4722222222222222</v>
      </c>
      <c r="J32" s="30">
        <f t="shared" si="5"/>
        <v>0.5</v>
      </c>
      <c r="K32" s="31" t="s">
        <v>33</v>
      </c>
      <c r="L32" s="103"/>
      <c r="M32" s="126">
        <f>AE32</f>
        <v>14</v>
      </c>
      <c r="N32" s="143"/>
      <c r="O32" s="130">
        <v>10</v>
      </c>
      <c r="P32" s="32" t="s">
        <v>110</v>
      </c>
      <c r="Q32" s="34" t="s">
        <v>5</v>
      </c>
      <c r="R32" s="34"/>
      <c r="S32" s="34" t="s">
        <v>13</v>
      </c>
      <c r="T32" s="77">
        <f>SUM(M$3:M32)</f>
        <v>299</v>
      </c>
      <c r="U32" s="124">
        <f t="shared" si="1"/>
        <v>126</v>
      </c>
      <c r="V32" s="77">
        <f>SUM(U$3:U32)</f>
        <v>1216</v>
      </c>
      <c r="W32" s="72">
        <v>10</v>
      </c>
      <c r="X32" s="27">
        <f>SUM(W$3:W32)</f>
        <v>238</v>
      </c>
      <c r="Y32" s="88">
        <v>90</v>
      </c>
      <c r="Z32" s="35">
        <f>SUM(Y$3:Y32)</f>
        <v>944</v>
      </c>
      <c r="AA32" s="89">
        <f>V32-V24</f>
        <v>408</v>
      </c>
      <c r="AB32" s="36">
        <f t="shared" si="6"/>
      </c>
      <c r="AC32" s="125" t="s">
        <v>172</v>
      </c>
      <c r="AD32" s="137" t="s">
        <v>169</v>
      </c>
      <c r="AE32" s="109">
        <v>14</v>
      </c>
      <c r="AF32" s="109">
        <v>14</v>
      </c>
      <c r="AK32" s="113"/>
      <c r="AL32" s="113"/>
      <c r="AN32" s="116"/>
      <c r="AO32" s="116"/>
    </row>
    <row r="33" spans="1:41" s="5" customFormat="1" ht="12" customHeight="1">
      <c r="A33" s="24">
        <v>31</v>
      </c>
      <c r="B33" s="24">
        <v>31</v>
      </c>
      <c r="C33" s="25">
        <f t="shared" si="0"/>
        <v>0.4305555555555555</v>
      </c>
      <c r="D33" s="25">
        <f t="shared" si="2"/>
        <v>0.4444444444444444</v>
      </c>
      <c r="E33" s="26">
        <f t="shared" si="3"/>
        <v>0</v>
      </c>
      <c r="F33" s="27"/>
      <c r="G33" s="28">
        <v>20</v>
      </c>
      <c r="H33" s="39"/>
      <c r="I33" s="29">
        <f t="shared" si="4"/>
        <v>0.4722222222222222</v>
      </c>
      <c r="J33" s="30">
        <f t="shared" si="5"/>
        <v>0.5</v>
      </c>
      <c r="K33" s="31" t="s">
        <v>67</v>
      </c>
      <c r="L33" s="103"/>
      <c r="M33" s="126">
        <f>AE33</f>
        <v>19</v>
      </c>
      <c r="N33" s="143">
        <f>SUM(M32:M33)/3</f>
        <v>11</v>
      </c>
      <c r="O33" s="130">
        <v>15</v>
      </c>
      <c r="P33" s="32" t="s">
        <v>110</v>
      </c>
      <c r="Q33" s="32" t="s">
        <v>6</v>
      </c>
      <c r="R33" s="32"/>
      <c r="S33" s="32" t="s">
        <v>13</v>
      </c>
      <c r="T33" s="77">
        <f>SUM(M$3:M33)</f>
        <v>318</v>
      </c>
      <c r="U33" s="124">
        <f t="shared" si="1"/>
        <v>171</v>
      </c>
      <c r="V33" s="77">
        <f>SUM(U$3:U33)</f>
        <v>1387</v>
      </c>
      <c r="W33" s="72">
        <v>15</v>
      </c>
      <c r="X33" s="27">
        <f>SUM(W$3:W33)</f>
        <v>253</v>
      </c>
      <c r="Y33" s="35">
        <v>135</v>
      </c>
      <c r="Z33" s="35">
        <f>SUM(Y$3:Y33)</f>
        <v>1079</v>
      </c>
      <c r="AA33" s="36"/>
      <c r="AB33" s="36">
        <f t="shared" si="6"/>
      </c>
      <c r="AC33" s="125" t="s">
        <v>173</v>
      </c>
      <c r="AD33" s="137" t="s">
        <v>171</v>
      </c>
      <c r="AE33" s="109">
        <v>19</v>
      </c>
      <c r="AF33" s="109">
        <v>19</v>
      </c>
      <c r="AK33" s="113"/>
      <c r="AL33" s="113"/>
      <c r="AN33" s="116"/>
      <c r="AO33" s="116"/>
    </row>
    <row r="34" spans="1:41" s="5" customFormat="1" ht="12" customHeight="1">
      <c r="A34" s="141" t="s">
        <v>230</v>
      </c>
      <c r="B34" s="141" t="s">
        <v>230</v>
      </c>
      <c r="C34" s="25">
        <f t="shared" si="0"/>
        <v>0.4305555555555555</v>
      </c>
      <c r="D34" s="25">
        <f t="shared" si="2"/>
        <v>0.4444444444444444</v>
      </c>
      <c r="E34" s="26">
        <f t="shared" si="3"/>
        <v>0</v>
      </c>
      <c r="F34" s="27"/>
      <c r="G34" s="28">
        <v>22</v>
      </c>
      <c r="H34" s="24"/>
      <c r="I34" s="29">
        <f t="shared" si="4"/>
        <v>0.4722222222222222</v>
      </c>
      <c r="J34" s="30">
        <f t="shared" si="5"/>
        <v>0.5</v>
      </c>
      <c r="K34" s="138" t="s">
        <v>15</v>
      </c>
      <c r="L34" s="139"/>
      <c r="M34" s="141">
        <f>AE34</f>
        <v>0</v>
      </c>
      <c r="N34" s="143"/>
      <c r="O34" s="130">
        <v>2</v>
      </c>
      <c r="P34" s="32" t="s">
        <v>110</v>
      </c>
      <c r="Q34" s="32" t="s">
        <v>8</v>
      </c>
      <c r="R34" s="32"/>
      <c r="S34" s="32" t="s">
        <v>3</v>
      </c>
      <c r="T34" s="77">
        <f>SUM(M$3:M34)</f>
        <v>318</v>
      </c>
      <c r="U34" s="124">
        <f t="shared" si="1"/>
        <v>0</v>
      </c>
      <c r="V34" s="77">
        <f>SUM(U$3:U34)</f>
        <v>1387</v>
      </c>
      <c r="W34" s="72">
        <v>2</v>
      </c>
      <c r="X34" s="27">
        <f>SUM(W$3:W34)</f>
        <v>255</v>
      </c>
      <c r="Y34" s="35">
        <v>18</v>
      </c>
      <c r="Z34" s="35">
        <f>SUM(Y$3:Y34)</f>
        <v>1097</v>
      </c>
      <c r="AA34" s="36"/>
      <c r="AB34" s="36">
        <f t="shared" si="6"/>
      </c>
      <c r="AC34" s="125">
        <v>32</v>
      </c>
      <c r="AD34" s="137"/>
      <c r="AE34" s="109">
        <v>0</v>
      </c>
      <c r="AF34" s="109">
        <v>0</v>
      </c>
      <c r="AK34" s="113"/>
      <c r="AL34" s="113"/>
      <c r="AN34" s="116"/>
      <c r="AO34" s="116"/>
    </row>
    <row r="35" spans="1:41" s="5" customFormat="1" ht="12" customHeight="1">
      <c r="A35" s="24">
        <v>32</v>
      </c>
      <c r="B35" s="24">
        <v>32</v>
      </c>
      <c r="C35" s="25">
        <f t="shared" si="0"/>
        <v>0.43749999999999994</v>
      </c>
      <c r="D35" s="25">
        <f t="shared" si="2"/>
        <v>0.45138888888888884</v>
      </c>
      <c r="E35" s="26">
        <f t="shared" si="3"/>
        <v>0</v>
      </c>
      <c r="F35" s="27"/>
      <c r="G35" s="28">
        <v>25</v>
      </c>
      <c r="H35" s="39">
        <v>0.006944444444444444</v>
      </c>
      <c r="I35" s="29">
        <f t="shared" si="4"/>
        <v>0.47916666666666663</v>
      </c>
      <c r="J35" s="30">
        <f t="shared" si="5"/>
        <v>0.5069444444444444</v>
      </c>
      <c r="K35" s="31" t="s">
        <v>56</v>
      </c>
      <c r="L35" s="102" t="s">
        <v>90</v>
      </c>
      <c r="M35" s="126">
        <f>AE35</f>
        <v>4</v>
      </c>
      <c r="N35" s="143"/>
      <c r="O35" s="130">
        <v>7</v>
      </c>
      <c r="P35" s="32" t="s">
        <v>111</v>
      </c>
      <c r="Q35" s="32" t="s">
        <v>5</v>
      </c>
      <c r="R35" s="32"/>
      <c r="S35" s="32" t="s">
        <v>7</v>
      </c>
      <c r="T35" s="77">
        <f>SUM(M$3:M35)</f>
        <v>322</v>
      </c>
      <c r="U35" s="124">
        <f t="shared" si="1"/>
        <v>20</v>
      </c>
      <c r="V35" s="77">
        <f>SUM(U$3:U35)</f>
        <v>1407</v>
      </c>
      <c r="W35" s="72">
        <v>7</v>
      </c>
      <c r="X35" s="27">
        <f>SUM(W$3:W35)</f>
        <v>262</v>
      </c>
      <c r="Y35" s="35">
        <v>35</v>
      </c>
      <c r="Z35" s="35">
        <f>SUM(Y$3:Y35)</f>
        <v>1132</v>
      </c>
      <c r="AA35" s="36"/>
      <c r="AB35" s="36">
        <f t="shared" si="6"/>
      </c>
      <c r="AC35" s="125" t="s">
        <v>176</v>
      </c>
      <c r="AD35" s="137" t="s">
        <v>174</v>
      </c>
      <c r="AE35" s="109">
        <v>4</v>
      </c>
      <c r="AF35" s="109">
        <v>4</v>
      </c>
      <c r="AK35" s="113"/>
      <c r="AL35" s="113"/>
      <c r="AN35" s="116"/>
      <c r="AO35" s="116"/>
    </row>
    <row r="36" spans="1:41" s="5" customFormat="1" ht="12" customHeight="1">
      <c r="A36" s="24">
        <v>33</v>
      </c>
      <c r="B36" s="24">
        <v>33</v>
      </c>
      <c r="C36" s="25">
        <f t="shared" si="0"/>
        <v>0.43749999999999994</v>
      </c>
      <c r="D36" s="25">
        <f t="shared" si="2"/>
        <v>0.45138888888888884</v>
      </c>
      <c r="E36" s="26">
        <f t="shared" si="3"/>
        <v>0</v>
      </c>
      <c r="F36" s="27"/>
      <c r="G36" s="28">
        <v>26</v>
      </c>
      <c r="H36" s="24"/>
      <c r="I36" s="29">
        <f t="shared" si="4"/>
        <v>0.47916666666666663</v>
      </c>
      <c r="J36" s="30">
        <f t="shared" si="5"/>
        <v>0.5069444444444444</v>
      </c>
      <c r="K36" s="31" t="s">
        <v>57</v>
      </c>
      <c r="L36" s="102" t="s">
        <v>90</v>
      </c>
      <c r="M36" s="126">
        <f>AE36</f>
        <v>9</v>
      </c>
      <c r="N36" s="143"/>
      <c r="O36" s="130">
        <v>6</v>
      </c>
      <c r="P36" s="32" t="s">
        <v>111</v>
      </c>
      <c r="Q36" s="32" t="s">
        <v>6</v>
      </c>
      <c r="R36" s="32"/>
      <c r="S36" s="32" t="s">
        <v>7</v>
      </c>
      <c r="T36" s="77">
        <f>SUM(M$3:M36)</f>
        <v>331</v>
      </c>
      <c r="U36" s="124">
        <f t="shared" si="1"/>
        <v>45</v>
      </c>
      <c r="V36" s="77">
        <f>SUM(U$3:U36)</f>
        <v>1452</v>
      </c>
      <c r="W36" s="72">
        <v>6</v>
      </c>
      <c r="X36" s="27">
        <f>SUM(W$3:W36)</f>
        <v>268</v>
      </c>
      <c r="Y36" s="35">
        <v>30</v>
      </c>
      <c r="Z36" s="35">
        <f>SUM(Y$3:Y36)</f>
        <v>1162</v>
      </c>
      <c r="AA36" s="36"/>
      <c r="AB36" s="36">
        <f t="shared" si="6"/>
      </c>
      <c r="AC36" s="125" t="s">
        <v>180</v>
      </c>
      <c r="AD36" s="137" t="s">
        <v>175</v>
      </c>
      <c r="AE36" s="109">
        <v>9</v>
      </c>
      <c r="AF36" s="109">
        <v>9</v>
      </c>
      <c r="AK36" s="113"/>
      <c r="AL36" s="113"/>
      <c r="AN36" s="116"/>
      <c r="AO36" s="116"/>
    </row>
    <row r="37" spans="1:41" s="5" customFormat="1" ht="12" customHeight="1">
      <c r="A37" s="24">
        <v>34</v>
      </c>
      <c r="B37" s="24">
        <v>34</v>
      </c>
      <c r="C37" s="25">
        <f t="shared" si="0"/>
        <v>0.43749999999999994</v>
      </c>
      <c r="D37" s="25">
        <f t="shared" si="2"/>
        <v>0.45138888888888884</v>
      </c>
      <c r="E37" s="26">
        <f t="shared" si="3"/>
        <v>0</v>
      </c>
      <c r="F37" s="27"/>
      <c r="G37" s="28"/>
      <c r="H37" s="24"/>
      <c r="I37" s="29">
        <f t="shared" si="4"/>
        <v>0.47916666666666663</v>
      </c>
      <c r="J37" s="30">
        <f t="shared" si="5"/>
        <v>0.5069444444444444</v>
      </c>
      <c r="K37" s="31" t="s">
        <v>89</v>
      </c>
      <c r="L37" s="102" t="s">
        <v>90</v>
      </c>
      <c r="M37" s="126">
        <f>AE37</f>
        <v>3</v>
      </c>
      <c r="N37" s="143"/>
      <c r="O37" s="130">
        <v>3</v>
      </c>
      <c r="P37" s="32" t="s">
        <v>110</v>
      </c>
      <c r="Q37" s="32" t="s">
        <v>8</v>
      </c>
      <c r="R37" s="32"/>
      <c r="S37" s="32" t="s">
        <v>7</v>
      </c>
      <c r="T37" s="77">
        <f>SUM(M$3:M37)</f>
        <v>334</v>
      </c>
      <c r="U37" s="124">
        <f t="shared" si="1"/>
        <v>27</v>
      </c>
      <c r="V37" s="77">
        <f>SUM(U$3:U37)</f>
        <v>1479</v>
      </c>
      <c r="W37" s="72">
        <v>3</v>
      </c>
      <c r="X37" s="27">
        <f>SUM(W$3:W37)</f>
        <v>271</v>
      </c>
      <c r="Y37" s="35">
        <v>27</v>
      </c>
      <c r="Z37" s="35">
        <f>SUM(Y$3:Y37)</f>
        <v>1189</v>
      </c>
      <c r="AA37" s="36"/>
      <c r="AB37" s="36">
        <f t="shared" si="6"/>
      </c>
      <c r="AC37" s="125" t="s">
        <v>181</v>
      </c>
      <c r="AD37" s="137" t="s">
        <v>177</v>
      </c>
      <c r="AE37" s="109">
        <v>3</v>
      </c>
      <c r="AF37" s="109">
        <v>3</v>
      </c>
      <c r="AK37" s="113"/>
      <c r="AL37" s="113"/>
      <c r="AN37" s="116"/>
      <c r="AO37" s="116"/>
    </row>
    <row r="38" spans="1:41" s="5" customFormat="1" ht="12" customHeight="1">
      <c r="A38" s="24">
        <v>35</v>
      </c>
      <c r="B38" s="24">
        <v>35</v>
      </c>
      <c r="C38" s="25">
        <f>I38-(1/24)-E38</f>
        <v>0.43749999999999994</v>
      </c>
      <c r="D38" s="25">
        <f t="shared" si="2"/>
        <v>0.45138888888888884</v>
      </c>
      <c r="E38" s="26">
        <f>IF(M38&gt;$AJ$3,(1/4)/24,0)</f>
        <v>0</v>
      </c>
      <c r="F38" s="27"/>
      <c r="G38" s="28">
        <v>21</v>
      </c>
      <c r="H38" s="39"/>
      <c r="I38" s="29">
        <f t="shared" si="4"/>
        <v>0.47916666666666663</v>
      </c>
      <c r="J38" s="30">
        <f t="shared" si="5"/>
        <v>0.5069444444444444</v>
      </c>
      <c r="K38" s="31" t="s">
        <v>9</v>
      </c>
      <c r="L38" s="103"/>
      <c r="M38" s="126">
        <f>AE38</f>
        <v>7</v>
      </c>
      <c r="N38" s="143"/>
      <c r="O38" s="130">
        <v>9</v>
      </c>
      <c r="P38" s="32" t="s">
        <v>76</v>
      </c>
      <c r="Q38" s="44" t="s">
        <v>8</v>
      </c>
      <c r="R38" s="44"/>
      <c r="S38" s="44" t="s">
        <v>3</v>
      </c>
      <c r="T38" s="77">
        <f>SUM(M$3:M38)</f>
        <v>341</v>
      </c>
      <c r="U38" s="124">
        <f>M38*VLOOKUP(P38,BOATCLASS,2)</f>
        <v>14</v>
      </c>
      <c r="V38" s="77">
        <f>SUM(U$3:U38)</f>
        <v>1493</v>
      </c>
      <c r="W38" s="72">
        <v>9</v>
      </c>
      <c r="X38" s="27">
        <f>SUM(W$3:W38)</f>
        <v>280</v>
      </c>
      <c r="Y38" s="35">
        <v>18</v>
      </c>
      <c r="Z38" s="35">
        <f>SUM(Y$3:Y38)</f>
        <v>1207</v>
      </c>
      <c r="AA38" s="36"/>
      <c r="AB38" s="36">
        <f t="shared" si="6"/>
      </c>
      <c r="AC38" s="125" t="s">
        <v>183</v>
      </c>
      <c r="AD38" s="137" t="s">
        <v>165</v>
      </c>
      <c r="AE38" s="109">
        <v>7</v>
      </c>
      <c r="AF38" s="109">
        <v>7</v>
      </c>
      <c r="AK38" s="113"/>
      <c r="AL38" s="113"/>
      <c r="AN38" s="116"/>
      <c r="AO38" s="116"/>
    </row>
    <row r="39" spans="1:41" s="4" customFormat="1" ht="12" customHeight="1">
      <c r="A39" s="141" t="s">
        <v>230</v>
      </c>
      <c r="B39" s="141" t="s">
        <v>230</v>
      </c>
      <c r="C39" s="25">
        <f t="shared" si="0"/>
        <v>0.43749999999999994</v>
      </c>
      <c r="D39" s="25">
        <f t="shared" si="2"/>
        <v>0.45138888888888884</v>
      </c>
      <c r="E39" s="26">
        <f t="shared" si="3"/>
        <v>0</v>
      </c>
      <c r="F39" s="27"/>
      <c r="G39" s="28">
        <v>36</v>
      </c>
      <c r="H39" s="39"/>
      <c r="I39" s="29">
        <f t="shared" si="4"/>
        <v>0.47916666666666663</v>
      </c>
      <c r="J39" s="30">
        <f t="shared" si="5"/>
        <v>0.5069444444444444</v>
      </c>
      <c r="K39" s="138" t="s">
        <v>51</v>
      </c>
      <c r="L39" s="138"/>
      <c r="M39" s="141">
        <f>AE39</f>
        <v>0</v>
      </c>
      <c r="N39" s="143"/>
      <c r="O39" s="130">
        <v>3</v>
      </c>
      <c r="P39" s="32" t="s">
        <v>108</v>
      </c>
      <c r="Q39" s="32" t="s">
        <v>6</v>
      </c>
      <c r="R39" s="32"/>
      <c r="S39" s="32" t="s">
        <v>3</v>
      </c>
      <c r="T39" s="77">
        <f>SUM(M$3:M39)</f>
        <v>341</v>
      </c>
      <c r="U39" s="124">
        <f t="shared" si="1"/>
        <v>0</v>
      </c>
      <c r="V39" s="77">
        <f>SUM(U$3:U39)</f>
        <v>1493</v>
      </c>
      <c r="W39" s="72">
        <v>3</v>
      </c>
      <c r="X39" s="27">
        <f>SUM(W$3:W39)</f>
        <v>283</v>
      </c>
      <c r="Y39" s="35">
        <v>3</v>
      </c>
      <c r="Z39" s="35">
        <f>SUM(Y$3:Y39)</f>
        <v>1210</v>
      </c>
      <c r="AA39" s="36"/>
      <c r="AB39" s="36">
        <f t="shared" si="6"/>
      </c>
      <c r="AC39" s="125">
        <v>37</v>
      </c>
      <c r="AD39" s="137"/>
      <c r="AE39" s="109">
        <v>0</v>
      </c>
      <c r="AF39" s="109">
        <v>0</v>
      </c>
      <c r="AK39" s="112"/>
      <c r="AL39" s="112"/>
      <c r="AN39" s="116"/>
      <c r="AO39" s="116"/>
    </row>
    <row r="40" spans="1:41" s="6" customFormat="1" ht="12" customHeight="1">
      <c r="A40" s="24">
        <v>36</v>
      </c>
      <c r="B40" s="24">
        <v>36</v>
      </c>
      <c r="C40" s="25">
        <f t="shared" si="0"/>
        <v>0.43749999999999994</v>
      </c>
      <c r="D40" s="25">
        <f t="shared" si="2"/>
        <v>0.45138888888888884</v>
      </c>
      <c r="E40" s="26">
        <f t="shared" si="3"/>
        <v>0</v>
      </c>
      <c r="F40" s="27"/>
      <c r="G40" s="28">
        <v>37</v>
      </c>
      <c r="H40" s="24"/>
      <c r="I40" s="29">
        <f t="shared" si="4"/>
        <v>0.47916666666666663</v>
      </c>
      <c r="J40" s="30">
        <f t="shared" si="5"/>
        <v>0.5069444444444444</v>
      </c>
      <c r="K40" s="31" t="s">
        <v>64</v>
      </c>
      <c r="L40" s="103"/>
      <c r="M40" s="126">
        <f>AE40</f>
        <v>6</v>
      </c>
      <c r="N40" s="143"/>
      <c r="O40" s="130">
        <v>6</v>
      </c>
      <c r="P40" s="32" t="s">
        <v>108</v>
      </c>
      <c r="Q40" s="32" t="s">
        <v>6</v>
      </c>
      <c r="R40" s="32" t="s">
        <v>74</v>
      </c>
      <c r="S40" s="32" t="s">
        <v>3</v>
      </c>
      <c r="T40" s="77">
        <f>SUM(M$3:M40)</f>
        <v>347</v>
      </c>
      <c r="U40" s="124">
        <f t="shared" si="1"/>
        <v>6</v>
      </c>
      <c r="V40" s="77">
        <f>SUM(U$3:U40)</f>
        <v>1499</v>
      </c>
      <c r="W40" s="72">
        <v>6</v>
      </c>
      <c r="X40" s="27">
        <f>SUM(W$3:W40)</f>
        <v>289</v>
      </c>
      <c r="Y40" s="35">
        <v>6</v>
      </c>
      <c r="Z40" s="35">
        <f>SUM(Y$3:Y40)</f>
        <v>1216</v>
      </c>
      <c r="AA40" s="36"/>
      <c r="AB40" s="36">
        <f t="shared" si="6"/>
      </c>
      <c r="AC40" s="125" t="s">
        <v>186</v>
      </c>
      <c r="AD40" s="137" t="s">
        <v>182</v>
      </c>
      <c r="AE40" s="109">
        <v>6</v>
      </c>
      <c r="AF40" s="109">
        <v>6</v>
      </c>
      <c r="AK40" s="114"/>
      <c r="AL40" s="114"/>
      <c r="AN40" s="116"/>
      <c r="AO40" s="116"/>
    </row>
    <row r="41" spans="1:41" s="4" customFormat="1" ht="12" customHeight="1">
      <c r="A41" s="24">
        <v>37</v>
      </c>
      <c r="B41" s="24">
        <v>37</v>
      </c>
      <c r="C41" s="25">
        <f t="shared" si="0"/>
        <v>0.43749999999999994</v>
      </c>
      <c r="D41" s="25">
        <f t="shared" si="2"/>
        <v>0.45138888888888884</v>
      </c>
      <c r="E41" s="26">
        <f t="shared" si="3"/>
        <v>0</v>
      </c>
      <c r="F41" s="27"/>
      <c r="G41" s="28">
        <v>38</v>
      </c>
      <c r="H41" s="24"/>
      <c r="I41" s="29">
        <f t="shared" si="4"/>
        <v>0.47916666666666663</v>
      </c>
      <c r="J41" s="30">
        <f t="shared" si="5"/>
        <v>0.5069444444444444</v>
      </c>
      <c r="K41" s="43" t="s">
        <v>65</v>
      </c>
      <c r="L41" s="104"/>
      <c r="M41" s="126">
        <f>AE41</f>
        <v>7</v>
      </c>
      <c r="N41" s="143"/>
      <c r="O41" s="130">
        <v>7</v>
      </c>
      <c r="P41" s="32" t="s">
        <v>108</v>
      </c>
      <c r="Q41" s="44" t="s">
        <v>6</v>
      </c>
      <c r="R41" s="44"/>
      <c r="S41" s="44" t="s">
        <v>13</v>
      </c>
      <c r="T41" s="77">
        <f>SUM(M$3:M41)</f>
        <v>354</v>
      </c>
      <c r="U41" s="124">
        <f t="shared" si="1"/>
        <v>7</v>
      </c>
      <c r="V41" s="77">
        <f>SUM(U$3:U41)</f>
        <v>1506</v>
      </c>
      <c r="W41" s="72">
        <v>7</v>
      </c>
      <c r="X41" s="27">
        <f>SUM(W$3:W41)</f>
        <v>296</v>
      </c>
      <c r="Y41" s="35">
        <v>7</v>
      </c>
      <c r="Z41" s="35">
        <f>SUM(Y$3:Y41)</f>
        <v>1223</v>
      </c>
      <c r="AA41" s="36"/>
      <c r="AB41" s="36">
        <f t="shared" si="6"/>
      </c>
      <c r="AC41" s="125" t="s">
        <v>190</v>
      </c>
      <c r="AD41" s="137" t="s">
        <v>184</v>
      </c>
      <c r="AE41" s="109">
        <v>7</v>
      </c>
      <c r="AF41" s="109">
        <v>7</v>
      </c>
      <c r="AK41" s="112"/>
      <c r="AL41" s="112"/>
      <c r="AN41" s="116"/>
      <c r="AO41" s="116"/>
    </row>
    <row r="42" spans="1:41" s="6" customFormat="1" ht="12" customHeight="1">
      <c r="A42" s="24">
        <v>38</v>
      </c>
      <c r="B42" s="24">
        <v>38</v>
      </c>
      <c r="C42" s="25">
        <f t="shared" si="0"/>
        <v>0.43749999999999994</v>
      </c>
      <c r="D42" s="25">
        <f t="shared" si="2"/>
        <v>0.45138888888888884</v>
      </c>
      <c r="E42" s="26">
        <f t="shared" si="3"/>
        <v>0</v>
      </c>
      <c r="F42" s="27"/>
      <c r="G42" s="28">
        <v>39</v>
      </c>
      <c r="H42" s="24"/>
      <c r="I42" s="29">
        <f t="shared" si="4"/>
        <v>0.47916666666666663</v>
      </c>
      <c r="J42" s="30">
        <f t="shared" si="5"/>
        <v>0.5069444444444444</v>
      </c>
      <c r="K42" s="31" t="s">
        <v>66</v>
      </c>
      <c r="L42" s="103"/>
      <c r="M42" s="126">
        <f>AE42</f>
        <v>2</v>
      </c>
      <c r="N42" s="143"/>
      <c r="O42" s="130">
        <v>6</v>
      </c>
      <c r="P42" s="32" t="s">
        <v>108</v>
      </c>
      <c r="Q42" s="32" t="s">
        <v>6</v>
      </c>
      <c r="R42" s="32"/>
      <c r="S42" s="32" t="s">
        <v>2</v>
      </c>
      <c r="T42" s="77">
        <f>SUM(M$3:M42)</f>
        <v>356</v>
      </c>
      <c r="U42" s="124">
        <f t="shared" si="1"/>
        <v>2</v>
      </c>
      <c r="V42" s="77">
        <f>SUM(U$3:U42)</f>
        <v>1508</v>
      </c>
      <c r="W42" s="72">
        <v>6</v>
      </c>
      <c r="X42" s="27">
        <f>SUM(W$3:W42)</f>
        <v>302</v>
      </c>
      <c r="Y42" s="35">
        <v>6</v>
      </c>
      <c r="Z42" s="35">
        <f>SUM(Y$3:Y42)</f>
        <v>1229</v>
      </c>
      <c r="AA42" s="36"/>
      <c r="AB42" s="36">
        <f t="shared" si="6"/>
      </c>
      <c r="AC42" s="125" t="s">
        <v>192</v>
      </c>
      <c r="AD42" s="137" t="s">
        <v>185</v>
      </c>
      <c r="AE42" s="109">
        <v>2</v>
      </c>
      <c r="AF42" s="109">
        <v>2</v>
      </c>
      <c r="AK42" s="114"/>
      <c r="AL42" s="114"/>
      <c r="AN42" s="116"/>
      <c r="AO42" s="116"/>
    </row>
    <row r="43" spans="1:41" s="94" customFormat="1" ht="12" customHeight="1">
      <c r="A43" s="45" t="s">
        <v>16</v>
      </c>
      <c r="B43" s="46"/>
      <c r="C43" s="47"/>
      <c r="D43" s="47"/>
      <c r="E43" s="26">
        <f t="shared" si="3"/>
        <v>0</v>
      </c>
      <c r="F43" s="84"/>
      <c r="G43" s="48"/>
      <c r="H43" s="49"/>
      <c r="I43" s="29">
        <f t="shared" si="4"/>
        <v>0.47916666666666663</v>
      </c>
      <c r="J43" s="85"/>
      <c r="K43" s="46"/>
      <c r="L43" s="106"/>
      <c r="M43" s="115"/>
      <c r="N43" s="144"/>
      <c r="O43" s="131"/>
      <c r="P43" s="46"/>
      <c r="Q43" s="46"/>
      <c r="R43" s="46"/>
      <c r="S43" s="46"/>
      <c r="T43" s="77"/>
      <c r="U43" s="124"/>
      <c r="V43" s="77"/>
      <c r="W43" s="93"/>
      <c r="X43" s="27">
        <f>SUM(W$3:W43)</f>
        <v>302</v>
      </c>
      <c r="Y43" s="50">
        <v>0</v>
      </c>
      <c r="Z43" s="35">
        <f>SUM(Y$3:Y43)</f>
        <v>1229</v>
      </c>
      <c r="AA43" s="86"/>
      <c r="AB43" s="36">
        <f t="shared" si="6"/>
      </c>
      <c r="AC43" s="125"/>
      <c r="AD43" s="137"/>
      <c r="AE43" s="109"/>
      <c r="AF43" s="109"/>
      <c r="AK43" s="115"/>
      <c r="AL43" s="115"/>
      <c r="AN43" s="116"/>
      <c r="AO43" s="116"/>
    </row>
    <row r="44" spans="1:41" s="5" customFormat="1" ht="12" customHeight="1">
      <c r="A44" s="24">
        <v>39</v>
      </c>
      <c r="B44" s="24">
        <v>39</v>
      </c>
      <c r="C44" s="25">
        <f>I44-(1/24)-E44</f>
        <v>0.47222222222222215</v>
      </c>
      <c r="D44" s="25">
        <f t="shared" si="2"/>
        <v>0.48611111111111105</v>
      </c>
      <c r="E44" s="26">
        <v>0</v>
      </c>
      <c r="F44" s="27"/>
      <c r="G44" s="28">
        <v>27</v>
      </c>
      <c r="H44" s="39">
        <v>0.034722222222222224</v>
      </c>
      <c r="I44" s="29">
        <f t="shared" si="4"/>
        <v>0.5138888888888888</v>
      </c>
      <c r="J44" s="30">
        <f t="shared" si="5"/>
        <v>0.5416666666666666</v>
      </c>
      <c r="K44" s="31" t="s">
        <v>32</v>
      </c>
      <c r="L44" s="103"/>
      <c r="M44" s="126">
        <f>AE44</f>
        <v>33</v>
      </c>
      <c r="N44" s="143"/>
      <c r="O44" s="130">
        <v>25</v>
      </c>
      <c r="P44" s="32" t="s">
        <v>111</v>
      </c>
      <c r="Q44" s="32" t="s">
        <v>5</v>
      </c>
      <c r="R44" s="32"/>
      <c r="S44" s="32" t="s">
        <v>3</v>
      </c>
      <c r="T44" s="77">
        <f>SUM(M$3:M44)</f>
        <v>389</v>
      </c>
      <c r="U44" s="124">
        <f>M44*VLOOKUP(P44,BOATCLASS,2)</f>
        <v>165</v>
      </c>
      <c r="V44" s="77">
        <f>SUM(U$3:U44)</f>
        <v>1673</v>
      </c>
      <c r="W44" s="72">
        <v>25</v>
      </c>
      <c r="X44" s="27">
        <f>SUM(W$3:W47)</f>
        <v>362</v>
      </c>
      <c r="Y44" s="35">
        <v>125</v>
      </c>
      <c r="Z44" s="35">
        <f>SUM(Y$3:Y47)</f>
        <v>1529</v>
      </c>
      <c r="AA44" s="36">
        <f>V44-V32</f>
        <v>457</v>
      </c>
      <c r="AB44" s="36">
        <f t="shared" si="6"/>
        <v>12</v>
      </c>
      <c r="AC44" s="125" t="s">
        <v>188</v>
      </c>
      <c r="AD44" s="137" t="s">
        <v>189</v>
      </c>
      <c r="AE44" s="109">
        <v>33</v>
      </c>
      <c r="AF44" s="109">
        <v>33</v>
      </c>
      <c r="AK44" s="113"/>
      <c r="AL44" s="113"/>
      <c r="AN44" s="116"/>
      <c r="AO44" s="116"/>
    </row>
    <row r="45" spans="1:41" s="5" customFormat="1" ht="12" customHeight="1">
      <c r="A45" s="24">
        <v>40</v>
      </c>
      <c r="B45" s="24">
        <v>40</v>
      </c>
      <c r="C45" s="25">
        <f aca="true" t="shared" si="7" ref="C45:C61">I45-(1/24)-E45</f>
        <v>0.47222222222222215</v>
      </c>
      <c r="D45" s="25">
        <f t="shared" si="2"/>
        <v>0.48611111111111105</v>
      </c>
      <c r="E45" s="26">
        <f t="shared" si="3"/>
        <v>0</v>
      </c>
      <c r="F45" s="27"/>
      <c r="G45" s="28">
        <v>23</v>
      </c>
      <c r="H45" s="39"/>
      <c r="I45" s="29">
        <f t="shared" si="4"/>
        <v>0.5138888888888888</v>
      </c>
      <c r="J45" s="30">
        <f t="shared" si="5"/>
        <v>0.5416666666666666</v>
      </c>
      <c r="K45" s="31" t="s">
        <v>31</v>
      </c>
      <c r="L45" s="103"/>
      <c r="M45" s="126">
        <f>AE45</f>
        <v>8</v>
      </c>
      <c r="N45" s="143"/>
      <c r="O45" s="130">
        <v>5</v>
      </c>
      <c r="P45" s="32" t="s">
        <v>111</v>
      </c>
      <c r="Q45" s="32" t="s">
        <v>5</v>
      </c>
      <c r="R45" s="32" t="s">
        <v>74</v>
      </c>
      <c r="S45" s="32" t="s">
        <v>3</v>
      </c>
      <c r="T45" s="77">
        <f>SUM(M$3:M45)</f>
        <v>397</v>
      </c>
      <c r="U45" s="124">
        <f aca="true" t="shared" si="8" ref="U45:U62">M45*VLOOKUP(P45,BOATCLASS,2)</f>
        <v>40</v>
      </c>
      <c r="V45" s="77">
        <f>SUM(U$3:U45)</f>
        <v>1713</v>
      </c>
      <c r="W45" s="72">
        <v>5</v>
      </c>
      <c r="X45" s="27">
        <f>SUM(W$3:W45)</f>
        <v>332</v>
      </c>
      <c r="Y45" s="35">
        <v>25</v>
      </c>
      <c r="Z45" s="35">
        <f>SUM(Y$3:Y45)</f>
        <v>1379</v>
      </c>
      <c r="AA45" s="36"/>
      <c r="AB45" s="36">
        <f t="shared" si="6"/>
      </c>
      <c r="AC45" s="125" t="s">
        <v>194</v>
      </c>
      <c r="AD45" s="137" t="s">
        <v>187</v>
      </c>
      <c r="AE45" s="109">
        <v>8</v>
      </c>
      <c r="AF45" s="109">
        <v>8</v>
      </c>
      <c r="AK45" s="113"/>
      <c r="AL45" s="113"/>
      <c r="AN45" s="116"/>
      <c r="AO45" s="116"/>
    </row>
    <row r="46" spans="1:41" s="5" customFormat="1" ht="12" customHeight="1">
      <c r="A46" s="24">
        <v>41</v>
      </c>
      <c r="B46" s="24">
        <v>41</v>
      </c>
      <c r="C46" s="25">
        <f t="shared" si="7"/>
        <v>0.47222222222222215</v>
      </c>
      <c r="D46" s="25">
        <f t="shared" si="2"/>
        <v>0.48611111111111105</v>
      </c>
      <c r="E46" s="26">
        <f t="shared" si="3"/>
        <v>0</v>
      </c>
      <c r="F46" s="27"/>
      <c r="G46" s="28">
        <v>23</v>
      </c>
      <c r="H46" s="39"/>
      <c r="I46" s="29">
        <f t="shared" si="4"/>
        <v>0.5138888888888888</v>
      </c>
      <c r="J46" s="30">
        <f t="shared" si="5"/>
        <v>0.5416666666666666</v>
      </c>
      <c r="K46" s="31" t="s">
        <v>92</v>
      </c>
      <c r="L46" s="103"/>
      <c r="M46" s="126">
        <f>AE46</f>
        <v>9</v>
      </c>
      <c r="N46" s="143">
        <f>SUM(M44:M46)/3</f>
        <v>16.666666666666668</v>
      </c>
      <c r="O46" s="130">
        <v>9</v>
      </c>
      <c r="P46" s="32" t="s">
        <v>111</v>
      </c>
      <c r="Q46" s="32" t="s">
        <v>6</v>
      </c>
      <c r="R46" s="32" t="s">
        <v>74</v>
      </c>
      <c r="S46" s="32" t="s">
        <v>12</v>
      </c>
      <c r="T46" s="77">
        <f>SUM(M$3:M46)</f>
        <v>406</v>
      </c>
      <c r="U46" s="124">
        <f t="shared" si="8"/>
        <v>45</v>
      </c>
      <c r="V46" s="77">
        <f>SUM(U$3:U46)</f>
        <v>1758</v>
      </c>
      <c r="W46" s="72">
        <v>9</v>
      </c>
      <c r="X46" s="27">
        <f>SUM(W$3:W46)</f>
        <v>341</v>
      </c>
      <c r="Y46" s="35">
        <v>45</v>
      </c>
      <c r="Z46" s="35">
        <f>SUM(Y$3:Y46)</f>
        <v>1424</v>
      </c>
      <c r="AA46" s="36"/>
      <c r="AB46" s="36">
        <f t="shared" si="6"/>
      </c>
      <c r="AC46" s="125" t="s">
        <v>196</v>
      </c>
      <c r="AD46" s="137" t="s">
        <v>191</v>
      </c>
      <c r="AE46" s="109">
        <v>9</v>
      </c>
      <c r="AF46" s="109">
        <v>9</v>
      </c>
      <c r="AK46" s="113"/>
      <c r="AL46" s="113"/>
      <c r="AN46" s="116"/>
      <c r="AO46" s="116"/>
    </row>
    <row r="47" spans="1:41" s="5" customFormat="1" ht="12" customHeight="1">
      <c r="A47" s="24">
        <v>42</v>
      </c>
      <c r="B47" s="24">
        <v>42</v>
      </c>
      <c r="C47" s="25">
        <f t="shared" si="7"/>
        <v>0.48263888888888873</v>
      </c>
      <c r="D47" s="25">
        <f t="shared" si="2"/>
        <v>0.4965277777777776</v>
      </c>
      <c r="E47" s="26">
        <f t="shared" si="3"/>
        <v>0.010416666666666666</v>
      </c>
      <c r="F47" s="27"/>
      <c r="G47" s="28">
        <v>47</v>
      </c>
      <c r="H47" s="39">
        <v>0.010416666666666666</v>
      </c>
      <c r="I47" s="29">
        <f t="shared" si="4"/>
        <v>0.5347222222222221</v>
      </c>
      <c r="J47" s="30">
        <f t="shared" si="5"/>
        <v>0.5624999999999999</v>
      </c>
      <c r="K47" s="31" t="s">
        <v>54</v>
      </c>
      <c r="L47" s="103"/>
      <c r="M47" s="126">
        <f>AE47</f>
        <v>27</v>
      </c>
      <c r="N47" s="143">
        <f>M47/3</f>
        <v>9</v>
      </c>
      <c r="O47" s="130">
        <v>21</v>
      </c>
      <c r="P47" s="32" t="s">
        <v>111</v>
      </c>
      <c r="Q47" s="32" t="s">
        <v>6</v>
      </c>
      <c r="R47" s="32"/>
      <c r="S47" s="32" t="s">
        <v>3</v>
      </c>
      <c r="T47" s="77">
        <f>SUM(M$3:M47)</f>
        <v>433</v>
      </c>
      <c r="U47" s="124">
        <f t="shared" si="8"/>
        <v>135</v>
      </c>
      <c r="V47" s="77">
        <f>SUM(U$3:U47)</f>
        <v>1893</v>
      </c>
      <c r="W47" s="72">
        <v>21</v>
      </c>
      <c r="X47" s="27">
        <f>SUM(W$3:W47)</f>
        <v>362</v>
      </c>
      <c r="Y47" s="35">
        <v>105</v>
      </c>
      <c r="Z47" s="35">
        <f>SUM(Y$3:Y47)</f>
        <v>1529</v>
      </c>
      <c r="AA47" s="36"/>
      <c r="AB47" s="36">
        <f t="shared" si="6"/>
      </c>
      <c r="AC47" s="125" t="s">
        <v>198</v>
      </c>
      <c r="AD47" s="137" t="s">
        <v>195</v>
      </c>
      <c r="AE47" s="109">
        <v>27</v>
      </c>
      <c r="AF47" s="109">
        <v>27</v>
      </c>
      <c r="AK47" s="113"/>
      <c r="AL47" s="113"/>
      <c r="AN47" s="116"/>
      <c r="AO47" s="116"/>
    </row>
    <row r="48" spans="1:41" s="5" customFormat="1" ht="12" customHeight="1">
      <c r="A48" s="24">
        <v>43</v>
      </c>
      <c r="B48" s="24">
        <v>43</v>
      </c>
      <c r="C48" s="25">
        <f t="shared" si="7"/>
        <v>0.4965277777777776</v>
      </c>
      <c r="D48" s="25">
        <f t="shared" si="2"/>
        <v>0.5104166666666665</v>
      </c>
      <c r="E48" s="26">
        <f t="shared" si="3"/>
        <v>0.010416666666666666</v>
      </c>
      <c r="F48" s="27"/>
      <c r="G48" s="28">
        <v>9</v>
      </c>
      <c r="H48" s="39">
        <v>0.003472222222222222</v>
      </c>
      <c r="I48" s="29">
        <f t="shared" si="4"/>
        <v>0.5486111111111109</v>
      </c>
      <c r="J48" s="30">
        <f t="shared" si="5"/>
        <v>0.5763888888888887</v>
      </c>
      <c r="K48" s="31" t="s">
        <v>35</v>
      </c>
      <c r="L48" s="103"/>
      <c r="M48" s="126">
        <f>AE48</f>
        <v>44</v>
      </c>
      <c r="N48" s="143"/>
      <c r="O48" s="130">
        <v>37</v>
      </c>
      <c r="P48" s="32" t="s">
        <v>110</v>
      </c>
      <c r="Q48" s="32" t="s">
        <v>5</v>
      </c>
      <c r="R48" s="32"/>
      <c r="S48" s="32" t="s">
        <v>12</v>
      </c>
      <c r="T48" s="77">
        <f>SUM(M$3:M48)</f>
        <v>477</v>
      </c>
      <c r="U48" s="124">
        <f t="shared" si="8"/>
        <v>396</v>
      </c>
      <c r="V48" s="77">
        <f>SUM(U$3:U48)</f>
        <v>2289</v>
      </c>
      <c r="W48" s="72">
        <v>37</v>
      </c>
      <c r="X48" s="27">
        <f>SUM(W$3:W48)</f>
        <v>399</v>
      </c>
      <c r="Y48" s="35">
        <v>333</v>
      </c>
      <c r="Z48" s="35">
        <f>SUM(Y$3:Y48)</f>
        <v>1862</v>
      </c>
      <c r="AA48" s="36">
        <f>V48-V44</f>
        <v>616</v>
      </c>
      <c r="AB48" s="36">
        <f t="shared" si="6"/>
        <v>13</v>
      </c>
      <c r="AC48" s="125" t="s">
        <v>200</v>
      </c>
      <c r="AD48" s="137" t="s">
        <v>197</v>
      </c>
      <c r="AE48" s="109">
        <v>44</v>
      </c>
      <c r="AF48" s="109">
        <v>44</v>
      </c>
      <c r="AK48" s="113"/>
      <c r="AL48" s="113"/>
      <c r="AN48" s="116"/>
      <c r="AO48" s="116"/>
    </row>
    <row r="49" spans="1:41" s="5" customFormat="1" ht="12" customHeight="1">
      <c r="A49" s="24">
        <v>44</v>
      </c>
      <c r="B49" s="24">
        <v>44</v>
      </c>
      <c r="C49" s="25">
        <f t="shared" si="7"/>
        <v>0.5069444444444443</v>
      </c>
      <c r="D49" s="25">
        <f t="shared" si="2"/>
        <v>0.5208333333333331</v>
      </c>
      <c r="E49" s="26">
        <f t="shared" si="3"/>
        <v>0</v>
      </c>
      <c r="F49" s="27"/>
      <c r="G49" s="28">
        <v>10</v>
      </c>
      <c r="H49" s="39"/>
      <c r="I49" s="29">
        <f t="shared" si="4"/>
        <v>0.5486111111111109</v>
      </c>
      <c r="J49" s="30">
        <f t="shared" si="5"/>
        <v>0.5763888888888887</v>
      </c>
      <c r="K49" s="31" t="s">
        <v>52</v>
      </c>
      <c r="L49" s="103"/>
      <c r="M49" s="126">
        <f>AE49</f>
        <v>9</v>
      </c>
      <c r="N49" s="143">
        <f>SUM(M48:M49)/3</f>
        <v>17.666666666666668</v>
      </c>
      <c r="O49" s="130">
        <v>6</v>
      </c>
      <c r="P49" s="32" t="s">
        <v>110</v>
      </c>
      <c r="Q49" s="32" t="s">
        <v>6</v>
      </c>
      <c r="R49" s="32"/>
      <c r="S49" s="32" t="s">
        <v>2</v>
      </c>
      <c r="T49" s="77">
        <f>SUM(M$3:M49)</f>
        <v>486</v>
      </c>
      <c r="U49" s="124">
        <f t="shared" si="8"/>
        <v>81</v>
      </c>
      <c r="V49" s="77">
        <f>SUM(U$3:U49)</f>
        <v>2370</v>
      </c>
      <c r="W49" s="72">
        <v>6</v>
      </c>
      <c r="X49" s="27">
        <f>SUM(W$3:W49)</f>
        <v>405</v>
      </c>
      <c r="Y49" s="35">
        <v>54</v>
      </c>
      <c r="Z49" s="35">
        <f>SUM(Y$3:Y49)</f>
        <v>1916</v>
      </c>
      <c r="AA49" s="36"/>
      <c r="AB49" s="36">
        <f t="shared" si="6"/>
      </c>
      <c r="AC49" s="125" t="s">
        <v>202</v>
      </c>
      <c r="AD49" s="137" t="s">
        <v>199</v>
      </c>
      <c r="AE49" s="109">
        <v>9</v>
      </c>
      <c r="AF49" s="109">
        <v>9</v>
      </c>
      <c r="AK49" s="113"/>
      <c r="AL49" s="113"/>
      <c r="AN49" s="116"/>
      <c r="AO49" s="116"/>
    </row>
    <row r="50" spans="1:41" s="5" customFormat="1" ht="12" customHeight="1">
      <c r="A50" s="24">
        <v>45</v>
      </c>
      <c r="B50" s="24">
        <v>45</v>
      </c>
      <c r="C50" s="25">
        <f t="shared" si="7"/>
        <v>0.5173611111111109</v>
      </c>
      <c r="D50" s="25">
        <f t="shared" si="2"/>
        <v>0.5312499999999998</v>
      </c>
      <c r="E50" s="26">
        <f t="shared" si="3"/>
        <v>0.010416666666666666</v>
      </c>
      <c r="F50" s="27"/>
      <c r="G50" s="28">
        <v>10</v>
      </c>
      <c r="H50" s="39">
        <v>0.010416666666666666</v>
      </c>
      <c r="I50" s="29">
        <f t="shared" si="4"/>
        <v>0.5694444444444442</v>
      </c>
      <c r="J50" s="30">
        <f t="shared" si="5"/>
        <v>0.597222222222222</v>
      </c>
      <c r="K50" s="31" t="s">
        <v>77</v>
      </c>
      <c r="L50" s="103"/>
      <c r="M50" s="126">
        <f>AE50</f>
        <v>25</v>
      </c>
      <c r="N50" s="143">
        <f>M50/3</f>
        <v>8.333333333333334</v>
      </c>
      <c r="O50" s="130">
        <v>16</v>
      </c>
      <c r="P50" s="32" t="s">
        <v>110</v>
      </c>
      <c r="Q50" s="32" t="s">
        <v>6</v>
      </c>
      <c r="R50" s="32"/>
      <c r="S50" s="32" t="s">
        <v>2</v>
      </c>
      <c r="T50" s="77">
        <f>SUM(M$3:M50)</f>
        <v>511</v>
      </c>
      <c r="U50" s="124">
        <f t="shared" si="8"/>
        <v>225</v>
      </c>
      <c r="V50" s="77">
        <f>SUM(U$3:U50)</f>
        <v>2595</v>
      </c>
      <c r="W50" s="72">
        <v>16</v>
      </c>
      <c r="X50" s="27">
        <f>SUM(W$3:W50)</f>
        <v>421</v>
      </c>
      <c r="Y50" s="35">
        <v>144</v>
      </c>
      <c r="Z50" s="35">
        <f>SUM(Y$3:Y50)</f>
        <v>2060</v>
      </c>
      <c r="AA50" s="36"/>
      <c r="AB50" s="36">
        <f t="shared" si="6"/>
      </c>
      <c r="AC50" s="125" t="s">
        <v>178</v>
      </c>
      <c r="AD50" s="137" t="s">
        <v>201</v>
      </c>
      <c r="AE50" s="109">
        <v>25</v>
      </c>
      <c r="AF50" s="109">
        <v>25</v>
      </c>
      <c r="AK50" s="113"/>
      <c r="AL50" s="113"/>
      <c r="AN50" s="116"/>
      <c r="AO50" s="116"/>
    </row>
    <row r="51" spans="1:41" s="5" customFormat="1" ht="12" customHeight="1">
      <c r="A51" s="24">
        <v>46</v>
      </c>
      <c r="B51" s="24">
        <v>46</v>
      </c>
      <c r="C51" s="25">
        <f t="shared" si="7"/>
        <v>0.5312499999999998</v>
      </c>
      <c r="D51" s="25">
        <f t="shared" si="2"/>
        <v>0.5451388888888886</v>
      </c>
      <c r="E51" s="26">
        <f t="shared" si="3"/>
        <v>0.010416666666666666</v>
      </c>
      <c r="F51" s="27"/>
      <c r="G51" s="28">
        <v>11</v>
      </c>
      <c r="H51" s="119">
        <v>0.003472222222222222</v>
      </c>
      <c r="I51" s="29">
        <f t="shared" si="4"/>
        <v>0.583333333333333</v>
      </c>
      <c r="J51" s="30">
        <f t="shared" si="5"/>
        <v>0.6111111111111108</v>
      </c>
      <c r="K51" s="31" t="s">
        <v>62</v>
      </c>
      <c r="L51" s="103"/>
      <c r="M51" s="126">
        <f>AE51</f>
        <v>38</v>
      </c>
      <c r="N51" s="143"/>
      <c r="O51" s="130">
        <v>32</v>
      </c>
      <c r="P51" s="32" t="s">
        <v>110</v>
      </c>
      <c r="Q51" s="32" t="s">
        <v>6</v>
      </c>
      <c r="R51" s="32"/>
      <c r="S51" s="32" t="s">
        <v>1</v>
      </c>
      <c r="T51" s="77">
        <f>SUM(M$3:M51)</f>
        <v>549</v>
      </c>
      <c r="U51" s="124">
        <f t="shared" si="8"/>
        <v>342</v>
      </c>
      <c r="V51" s="77">
        <f>SUM(U$3:U51)</f>
        <v>2937</v>
      </c>
      <c r="W51" s="72">
        <v>32</v>
      </c>
      <c r="X51" s="27">
        <f>SUM(W$3:W51)</f>
        <v>453</v>
      </c>
      <c r="Y51" s="35">
        <v>288</v>
      </c>
      <c r="Z51" s="35">
        <f>SUM(Y$3:Y51)</f>
        <v>2348</v>
      </c>
      <c r="AA51" s="36"/>
      <c r="AB51" s="36">
        <f t="shared" si="6"/>
        <v>14</v>
      </c>
      <c r="AC51" s="125" t="s">
        <v>204</v>
      </c>
      <c r="AD51" s="137" t="s">
        <v>203</v>
      </c>
      <c r="AE51" s="109">
        <v>38</v>
      </c>
      <c r="AF51" s="109">
        <v>38</v>
      </c>
      <c r="AK51" s="113"/>
      <c r="AL51" s="113"/>
      <c r="AN51" s="116"/>
      <c r="AO51" s="116"/>
    </row>
    <row r="52" spans="1:41" s="5" customFormat="1" ht="12" customHeight="1">
      <c r="A52" s="24">
        <v>47</v>
      </c>
      <c r="B52" s="24">
        <v>47</v>
      </c>
      <c r="C52" s="25">
        <f>I52-(1/24)-E52</f>
        <v>0.5416666666666664</v>
      </c>
      <c r="D52" s="25">
        <f t="shared" si="2"/>
        <v>0.5555555555555552</v>
      </c>
      <c r="E52" s="26">
        <f>IF(M52&gt;$AJ$3,(1/4)/24,0)</f>
        <v>0</v>
      </c>
      <c r="F52" s="27"/>
      <c r="G52" s="28">
        <v>24</v>
      </c>
      <c r="H52" s="39"/>
      <c r="I52" s="29">
        <f t="shared" si="4"/>
        <v>0.583333333333333</v>
      </c>
      <c r="J52" s="30">
        <f t="shared" si="5"/>
        <v>0.6111111111111108</v>
      </c>
      <c r="K52" s="31" t="s">
        <v>68</v>
      </c>
      <c r="L52" s="103"/>
      <c r="M52" s="126">
        <f>AE52</f>
        <v>1</v>
      </c>
      <c r="N52" s="143"/>
      <c r="O52" s="130">
        <v>1</v>
      </c>
      <c r="P52" s="32" t="s">
        <v>111</v>
      </c>
      <c r="Q52" s="32" t="s">
        <v>6</v>
      </c>
      <c r="R52" s="32" t="s">
        <v>74</v>
      </c>
      <c r="S52" s="32" t="s">
        <v>3</v>
      </c>
      <c r="T52" s="77">
        <f>SUM(M$3:M52)</f>
        <v>550</v>
      </c>
      <c r="U52" s="124">
        <f>M52*VLOOKUP(P52,BOATCLASS,2)</f>
        <v>5</v>
      </c>
      <c r="V52" s="77">
        <f>SUM(U$3:U52)</f>
        <v>2942</v>
      </c>
      <c r="W52" s="72">
        <v>1</v>
      </c>
      <c r="X52" s="27">
        <f>SUM(W$3:W52)</f>
        <v>454</v>
      </c>
      <c r="Y52" s="35">
        <v>5</v>
      </c>
      <c r="Z52" s="35">
        <f>SUM(Y$3:Y52)</f>
        <v>2353</v>
      </c>
      <c r="AA52" s="36"/>
      <c r="AB52" s="36">
        <f t="shared" si="6"/>
      </c>
      <c r="AC52" s="125" t="s">
        <v>206</v>
      </c>
      <c r="AD52" s="137" t="s">
        <v>193</v>
      </c>
      <c r="AE52" s="109">
        <v>1</v>
      </c>
      <c r="AF52" s="109">
        <v>1</v>
      </c>
      <c r="AK52" s="113"/>
      <c r="AL52" s="113"/>
      <c r="AN52" s="116"/>
      <c r="AO52" s="116"/>
    </row>
    <row r="53" spans="1:41" s="5" customFormat="1" ht="12" customHeight="1">
      <c r="A53" s="24">
        <v>48</v>
      </c>
      <c r="B53" s="24">
        <v>48</v>
      </c>
      <c r="C53" s="25">
        <f t="shared" si="7"/>
        <v>0.5416666666666664</v>
      </c>
      <c r="D53" s="25">
        <f t="shared" si="2"/>
        <v>0.5555555555555552</v>
      </c>
      <c r="E53" s="26">
        <f t="shared" si="3"/>
        <v>0</v>
      </c>
      <c r="F53" s="27"/>
      <c r="G53" s="28">
        <v>29</v>
      </c>
      <c r="H53" s="39"/>
      <c r="I53" s="29">
        <f t="shared" si="4"/>
        <v>0.583333333333333</v>
      </c>
      <c r="J53" s="30">
        <f t="shared" si="5"/>
        <v>0.6111111111111108</v>
      </c>
      <c r="K53" s="31" t="s">
        <v>10</v>
      </c>
      <c r="L53" s="103"/>
      <c r="M53" s="126">
        <f>AE53</f>
        <v>1</v>
      </c>
      <c r="N53" s="143"/>
      <c r="O53" s="130">
        <v>2</v>
      </c>
      <c r="P53" s="32" t="s">
        <v>75</v>
      </c>
      <c r="Q53" s="32" t="s">
        <v>8</v>
      </c>
      <c r="R53" s="32"/>
      <c r="S53" s="32" t="s">
        <v>3</v>
      </c>
      <c r="T53" s="77">
        <f>SUM(M$3:M53)</f>
        <v>551</v>
      </c>
      <c r="U53" s="124">
        <f t="shared" si="8"/>
        <v>4</v>
      </c>
      <c r="V53" s="77">
        <f>SUM(U$3:U53)</f>
        <v>2946</v>
      </c>
      <c r="W53" s="72">
        <v>2</v>
      </c>
      <c r="X53" s="27">
        <f>SUM(W$3:W53)</f>
        <v>456</v>
      </c>
      <c r="Y53" s="35">
        <v>10</v>
      </c>
      <c r="Z53" s="35">
        <f>SUM(Y$3:Y53)</f>
        <v>2363</v>
      </c>
      <c r="AA53" s="36"/>
      <c r="AB53" s="36">
        <f t="shared" si="6"/>
      </c>
      <c r="AC53" s="125" t="s">
        <v>207</v>
      </c>
      <c r="AD53" s="137" t="s">
        <v>205</v>
      </c>
      <c r="AE53" s="109">
        <v>1</v>
      </c>
      <c r="AF53" s="109">
        <v>1</v>
      </c>
      <c r="AK53" s="113"/>
      <c r="AL53" s="113"/>
      <c r="AN53" s="116"/>
      <c r="AO53" s="116"/>
    </row>
    <row r="54" spans="1:41" s="5" customFormat="1" ht="12" customHeight="1">
      <c r="A54" s="141" t="s">
        <v>230</v>
      </c>
      <c r="B54" s="141" t="s">
        <v>230</v>
      </c>
      <c r="C54" s="25">
        <f t="shared" si="7"/>
        <v>0.5416666666666664</v>
      </c>
      <c r="D54" s="25">
        <f t="shared" si="2"/>
        <v>0.5555555555555552</v>
      </c>
      <c r="E54" s="26">
        <f t="shared" si="3"/>
        <v>0</v>
      </c>
      <c r="F54" s="27"/>
      <c r="G54" s="28">
        <v>40</v>
      </c>
      <c r="H54" s="39"/>
      <c r="I54" s="29">
        <f t="shared" si="4"/>
        <v>0.583333333333333</v>
      </c>
      <c r="J54" s="30">
        <f t="shared" si="5"/>
        <v>0.6111111111111108</v>
      </c>
      <c r="K54" s="138" t="s">
        <v>37</v>
      </c>
      <c r="L54" s="138"/>
      <c r="M54" s="141">
        <f>AE54</f>
        <v>0</v>
      </c>
      <c r="N54" s="143"/>
      <c r="O54" s="130">
        <v>1</v>
      </c>
      <c r="P54" s="32" t="s">
        <v>110</v>
      </c>
      <c r="Q54" s="32" t="s">
        <v>5</v>
      </c>
      <c r="R54" s="32" t="s">
        <v>74</v>
      </c>
      <c r="S54" s="32" t="s">
        <v>3</v>
      </c>
      <c r="T54" s="77">
        <f>SUM(M$3:M54)</f>
        <v>551</v>
      </c>
      <c r="U54" s="124">
        <f t="shared" si="8"/>
        <v>0</v>
      </c>
      <c r="V54" s="77">
        <f>SUM(U$3:U54)</f>
        <v>2946</v>
      </c>
      <c r="W54" s="72">
        <v>1</v>
      </c>
      <c r="X54" s="27">
        <f>SUM(W$3:W54)</f>
        <v>457</v>
      </c>
      <c r="Y54" s="35">
        <v>9</v>
      </c>
      <c r="Z54" s="35">
        <f>SUM(Y$3:Y54)</f>
        <v>2372</v>
      </c>
      <c r="AA54" s="42"/>
      <c r="AB54" s="36">
        <f t="shared" si="6"/>
      </c>
      <c r="AC54" s="125"/>
      <c r="AD54" s="137"/>
      <c r="AE54" s="109">
        <v>0</v>
      </c>
      <c r="AF54" s="109">
        <v>0</v>
      </c>
      <c r="AK54" s="113"/>
      <c r="AL54" s="113"/>
      <c r="AN54" s="116"/>
      <c r="AO54" s="116"/>
    </row>
    <row r="55" spans="1:41" s="5" customFormat="1" ht="12" customHeight="1">
      <c r="A55" s="141" t="s">
        <v>230</v>
      </c>
      <c r="B55" s="141" t="s">
        <v>230</v>
      </c>
      <c r="C55" s="25">
        <f t="shared" si="7"/>
        <v>0.5416666666666664</v>
      </c>
      <c r="D55" s="25">
        <f t="shared" si="2"/>
        <v>0.5555555555555552</v>
      </c>
      <c r="E55" s="26">
        <f t="shared" si="3"/>
        <v>0</v>
      </c>
      <c r="F55" s="27"/>
      <c r="G55" s="28">
        <v>41</v>
      </c>
      <c r="H55" s="24"/>
      <c r="I55" s="29">
        <f t="shared" si="4"/>
        <v>0.583333333333333</v>
      </c>
      <c r="J55" s="30">
        <f t="shared" si="5"/>
        <v>0.6111111111111108</v>
      </c>
      <c r="K55" s="138" t="s">
        <v>78</v>
      </c>
      <c r="L55" s="138"/>
      <c r="M55" s="141">
        <f>AE55</f>
        <v>0</v>
      </c>
      <c r="N55" s="143"/>
      <c r="O55" s="130">
        <v>0</v>
      </c>
      <c r="P55" s="32" t="s">
        <v>110</v>
      </c>
      <c r="Q55" s="32" t="s">
        <v>6</v>
      </c>
      <c r="R55" s="32" t="s">
        <v>74</v>
      </c>
      <c r="S55" s="32" t="s">
        <v>3</v>
      </c>
      <c r="T55" s="77">
        <f>SUM(M$3:M55)</f>
        <v>551</v>
      </c>
      <c r="U55" s="124">
        <f t="shared" si="8"/>
        <v>0</v>
      </c>
      <c r="V55" s="77">
        <f>SUM(U$3:U55)</f>
        <v>2946</v>
      </c>
      <c r="W55" s="72">
        <v>0</v>
      </c>
      <c r="X55" s="27">
        <f>SUM(W$3:W55)</f>
        <v>457</v>
      </c>
      <c r="Y55" s="35">
        <v>0</v>
      </c>
      <c r="Z55" s="35">
        <f>SUM(Y$3:Y55)</f>
        <v>2372</v>
      </c>
      <c r="AA55" s="36"/>
      <c r="AB55" s="36">
        <f t="shared" si="6"/>
      </c>
      <c r="AC55" s="125"/>
      <c r="AD55" s="137"/>
      <c r="AE55" s="109">
        <v>0</v>
      </c>
      <c r="AF55" s="109">
        <v>0</v>
      </c>
      <c r="AK55" s="113"/>
      <c r="AL55" s="113"/>
      <c r="AN55" s="116"/>
      <c r="AO55" s="116"/>
    </row>
    <row r="56" spans="1:41" s="5" customFormat="1" ht="12" customHeight="1">
      <c r="A56" s="24">
        <v>49</v>
      </c>
      <c r="B56" s="24">
        <v>49</v>
      </c>
      <c r="C56" s="25">
        <f>I56-(1/24)-E56</f>
        <v>0.5416666666666664</v>
      </c>
      <c r="D56" s="25">
        <f t="shared" si="2"/>
        <v>0.5555555555555552</v>
      </c>
      <c r="E56" s="26">
        <f>IF(M56&gt;$AJ$3,(1/4)/24,0)</f>
        <v>0</v>
      </c>
      <c r="F56" s="27"/>
      <c r="G56" s="28">
        <v>41</v>
      </c>
      <c r="H56" s="39"/>
      <c r="I56" s="29">
        <f t="shared" si="4"/>
        <v>0.583333333333333</v>
      </c>
      <c r="J56" s="30">
        <f t="shared" si="5"/>
        <v>0.6111111111111108</v>
      </c>
      <c r="K56" s="31" t="s">
        <v>79</v>
      </c>
      <c r="L56" s="103"/>
      <c r="M56" s="126">
        <f>AE56</f>
        <v>1</v>
      </c>
      <c r="N56" s="143"/>
      <c r="O56" s="130">
        <v>4</v>
      </c>
      <c r="P56" s="32" t="s">
        <v>110</v>
      </c>
      <c r="Q56" s="32" t="s">
        <v>6</v>
      </c>
      <c r="R56" s="32" t="s">
        <v>74</v>
      </c>
      <c r="S56" s="32" t="s">
        <v>1</v>
      </c>
      <c r="T56" s="77">
        <f>SUM(M$3:M56)</f>
        <v>552</v>
      </c>
      <c r="U56" s="124">
        <f>M56*VLOOKUP(P56,BOATCLASS,2)</f>
        <v>9</v>
      </c>
      <c r="V56" s="77">
        <f>SUM(U$3:U56)</f>
        <v>2955</v>
      </c>
      <c r="W56" s="72">
        <v>4</v>
      </c>
      <c r="X56" s="27">
        <f>SUM(W$3:W60)</f>
        <v>488</v>
      </c>
      <c r="Y56" s="35">
        <v>36</v>
      </c>
      <c r="Z56" s="35">
        <f>SUM(Y$3:Y60)</f>
        <v>2462</v>
      </c>
      <c r="AA56" s="36"/>
      <c r="AB56" s="36">
        <f t="shared" si="6"/>
      </c>
      <c r="AC56" s="125" t="s">
        <v>212</v>
      </c>
      <c r="AD56" s="137" t="s">
        <v>208</v>
      </c>
      <c r="AE56" s="109">
        <v>1</v>
      </c>
      <c r="AF56" s="109">
        <v>1</v>
      </c>
      <c r="AK56" s="113"/>
      <c r="AL56" s="113"/>
      <c r="AN56" s="116"/>
      <c r="AO56" s="116"/>
    </row>
    <row r="57" spans="1:41" s="5" customFormat="1" ht="12" customHeight="1">
      <c r="A57" s="24">
        <v>50</v>
      </c>
      <c r="B57" s="24">
        <v>50</v>
      </c>
      <c r="C57" s="25">
        <f t="shared" si="7"/>
        <v>0.5416666666666664</v>
      </c>
      <c r="D57" s="25">
        <f t="shared" si="2"/>
        <v>0.5555555555555552</v>
      </c>
      <c r="E57" s="26">
        <f t="shared" si="3"/>
        <v>0</v>
      </c>
      <c r="F57" s="27"/>
      <c r="G57" s="28">
        <v>46</v>
      </c>
      <c r="H57" s="39"/>
      <c r="I57" s="29">
        <f t="shared" si="4"/>
        <v>0.583333333333333</v>
      </c>
      <c r="J57" s="30">
        <f t="shared" si="5"/>
        <v>0.6111111111111108</v>
      </c>
      <c r="K57" s="31" t="s">
        <v>53</v>
      </c>
      <c r="L57" s="103"/>
      <c r="M57" s="126">
        <f>AE57</f>
        <v>6</v>
      </c>
      <c r="N57" s="143">
        <f>SUM(M51:M57)/3</f>
        <v>15.666666666666666</v>
      </c>
      <c r="O57" s="130">
        <v>3</v>
      </c>
      <c r="P57" s="32" t="s">
        <v>109</v>
      </c>
      <c r="Q57" s="32" t="s">
        <v>6</v>
      </c>
      <c r="R57" s="32"/>
      <c r="S57" s="32" t="s">
        <v>3</v>
      </c>
      <c r="T57" s="77">
        <f>SUM(M$3:M57)</f>
        <v>558</v>
      </c>
      <c r="U57" s="124">
        <f t="shared" si="8"/>
        <v>12</v>
      </c>
      <c r="V57" s="77">
        <f>SUM(U$3:U57)</f>
        <v>2967</v>
      </c>
      <c r="W57" s="72">
        <v>3</v>
      </c>
      <c r="X57" s="27">
        <f>SUM(W$3:W57)</f>
        <v>464</v>
      </c>
      <c r="Y57" s="35">
        <v>6</v>
      </c>
      <c r="Z57" s="35">
        <f>SUM(Y$3:Y57)</f>
        <v>2414</v>
      </c>
      <c r="AA57" s="36"/>
      <c r="AB57" s="36">
        <f t="shared" si="6"/>
      </c>
      <c r="AC57" s="125" t="s">
        <v>214</v>
      </c>
      <c r="AD57" s="137" t="s">
        <v>210</v>
      </c>
      <c r="AE57" s="109">
        <v>6</v>
      </c>
      <c r="AF57" s="109">
        <v>6</v>
      </c>
      <c r="AK57" s="113"/>
      <c r="AL57" s="113"/>
      <c r="AN57" s="116"/>
      <c r="AO57" s="116"/>
    </row>
    <row r="58" spans="1:41" s="5" customFormat="1" ht="12" customHeight="1">
      <c r="A58" s="24">
        <v>51</v>
      </c>
      <c r="B58" s="24">
        <v>51</v>
      </c>
      <c r="C58" s="25">
        <f t="shared" si="7"/>
        <v>0.5624999999999998</v>
      </c>
      <c r="D58" s="25">
        <f t="shared" si="2"/>
        <v>0.5763888888888886</v>
      </c>
      <c r="E58" s="26">
        <f t="shared" si="3"/>
        <v>0</v>
      </c>
      <c r="F58" s="27"/>
      <c r="G58" s="28">
        <v>42</v>
      </c>
      <c r="H58" s="39">
        <v>0.020833333333333332</v>
      </c>
      <c r="I58" s="29">
        <f t="shared" si="4"/>
        <v>0.6041666666666664</v>
      </c>
      <c r="J58" s="30">
        <f t="shared" si="5"/>
        <v>0.6319444444444442</v>
      </c>
      <c r="K58" s="31" t="s">
        <v>38</v>
      </c>
      <c r="L58" s="103"/>
      <c r="M58" s="126">
        <f>AE58</f>
        <v>2</v>
      </c>
      <c r="N58" s="143"/>
      <c r="O58" s="130">
        <v>5</v>
      </c>
      <c r="P58" s="32" t="s">
        <v>76</v>
      </c>
      <c r="Q58" s="32" t="s">
        <v>5</v>
      </c>
      <c r="R58" s="32"/>
      <c r="S58" s="32" t="s">
        <v>3</v>
      </c>
      <c r="T58" s="77">
        <f>SUM(M$3:M58)</f>
        <v>560</v>
      </c>
      <c r="U58" s="124">
        <f t="shared" si="8"/>
        <v>4</v>
      </c>
      <c r="V58" s="77">
        <f>SUM(U$3:U58)</f>
        <v>2971</v>
      </c>
      <c r="W58" s="72">
        <v>5</v>
      </c>
      <c r="X58" s="27">
        <f>SUM(W$3:W58)</f>
        <v>469</v>
      </c>
      <c r="Y58" s="35">
        <v>10</v>
      </c>
      <c r="Z58" s="35">
        <f>SUM(Y$3:Y58)</f>
        <v>2424</v>
      </c>
      <c r="AA58" s="36">
        <f>V58-V48</f>
        <v>682</v>
      </c>
      <c r="AB58" s="36">
        <f t="shared" si="6"/>
      </c>
      <c r="AC58" s="125" t="s">
        <v>216</v>
      </c>
      <c r="AD58" s="137" t="s">
        <v>211</v>
      </c>
      <c r="AE58" s="109">
        <v>2</v>
      </c>
      <c r="AF58" s="109">
        <v>2</v>
      </c>
      <c r="AK58" s="113"/>
      <c r="AL58" s="113"/>
      <c r="AN58" s="116"/>
      <c r="AO58" s="116"/>
    </row>
    <row r="59" spans="1:41" s="5" customFormat="1" ht="12" customHeight="1">
      <c r="A59" s="24">
        <v>52</v>
      </c>
      <c r="B59" s="24">
        <v>52</v>
      </c>
      <c r="C59" s="25">
        <f t="shared" si="7"/>
        <v>0.5624999999999998</v>
      </c>
      <c r="D59" s="25">
        <f t="shared" si="2"/>
        <v>0.5763888888888886</v>
      </c>
      <c r="E59" s="26">
        <f t="shared" si="3"/>
        <v>0</v>
      </c>
      <c r="F59" s="27"/>
      <c r="G59" s="28">
        <v>43</v>
      </c>
      <c r="H59" s="24"/>
      <c r="I59" s="29">
        <f t="shared" si="4"/>
        <v>0.6041666666666664</v>
      </c>
      <c r="J59" s="30">
        <f t="shared" si="5"/>
        <v>0.6319444444444442</v>
      </c>
      <c r="K59" s="31" t="s">
        <v>39</v>
      </c>
      <c r="L59" s="102" t="s">
        <v>90</v>
      </c>
      <c r="M59" s="126">
        <f>AE59</f>
        <v>11</v>
      </c>
      <c r="N59" s="143"/>
      <c r="O59" s="130">
        <v>6</v>
      </c>
      <c r="P59" s="32" t="s">
        <v>76</v>
      </c>
      <c r="Q59" s="32" t="s">
        <v>5</v>
      </c>
      <c r="R59" s="32"/>
      <c r="S59" s="32" t="s">
        <v>7</v>
      </c>
      <c r="T59" s="77">
        <f>SUM(M$3:M59)</f>
        <v>571</v>
      </c>
      <c r="U59" s="124">
        <f t="shared" si="8"/>
        <v>22</v>
      </c>
      <c r="V59" s="77">
        <f>SUM(U$3:U59)</f>
        <v>2993</v>
      </c>
      <c r="W59" s="72">
        <v>6</v>
      </c>
      <c r="X59" s="27">
        <f>SUM(W$3:W59)</f>
        <v>475</v>
      </c>
      <c r="Y59" s="35">
        <v>12</v>
      </c>
      <c r="Z59" s="35">
        <f>SUM(Y$3:Y59)</f>
        <v>2436</v>
      </c>
      <c r="AA59" s="36"/>
      <c r="AB59" s="36">
        <f t="shared" si="6"/>
      </c>
      <c r="AC59" s="125" t="s">
        <v>209</v>
      </c>
      <c r="AD59" s="137" t="s">
        <v>213</v>
      </c>
      <c r="AE59" s="109">
        <v>11</v>
      </c>
      <c r="AF59" s="109">
        <v>11</v>
      </c>
      <c r="AK59" s="113"/>
      <c r="AL59" s="113"/>
      <c r="AN59" s="116"/>
      <c r="AO59" s="116"/>
    </row>
    <row r="60" spans="1:41" s="5" customFormat="1" ht="12" customHeight="1">
      <c r="A60" s="24">
        <v>53</v>
      </c>
      <c r="B60" s="24">
        <v>53</v>
      </c>
      <c r="C60" s="25">
        <f t="shared" si="7"/>
        <v>0.5624999999999998</v>
      </c>
      <c r="D60" s="25">
        <f t="shared" si="2"/>
        <v>0.5763888888888886</v>
      </c>
      <c r="E60" s="26">
        <f t="shared" si="3"/>
        <v>0</v>
      </c>
      <c r="F60" s="27"/>
      <c r="G60" s="28">
        <v>44</v>
      </c>
      <c r="H60" s="24"/>
      <c r="I60" s="29">
        <f t="shared" si="4"/>
        <v>0.6041666666666664</v>
      </c>
      <c r="J60" s="30">
        <f t="shared" si="5"/>
        <v>0.6319444444444442</v>
      </c>
      <c r="K60" s="31" t="s">
        <v>40</v>
      </c>
      <c r="L60" s="103"/>
      <c r="M60" s="126">
        <f>AE60</f>
        <v>8</v>
      </c>
      <c r="N60" s="143">
        <f>SUM(M58:M60)/3</f>
        <v>7</v>
      </c>
      <c r="O60" s="130">
        <v>13</v>
      </c>
      <c r="P60" s="32" t="s">
        <v>76</v>
      </c>
      <c r="Q60" s="32" t="s">
        <v>5</v>
      </c>
      <c r="R60" s="32"/>
      <c r="S60" s="32" t="s">
        <v>13</v>
      </c>
      <c r="T60" s="77">
        <f>SUM(M$3:M60)</f>
        <v>579</v>
      </c>
      <c r="U60" s="124">
        <f t="shared" si="8"/>
        <v>16</v>
      </c>
      <c r="V60" s="77">
        <f>SUM(U$3:U60)</f>
        <v>3009</v>
      </c>
      <c r="W60" s="72">
        <v>13</v>
      </c>
      <c r="X60" s="27">
        <f>SUM(W$3:W60)</f>
        <v>488</v>
      </c>
      <c r="Y60" s="35">
        <v>26</v>
      </c>
      <c r="Z60" s="35">
        <f>SUM(Y$3:Y60)</f>
        <v>2462</v>
      </c>
      <c r="AA60" s="36"/>
      <c r="AB60" s="36">
        <f t="shared" si="6"/>
      </c>
      <c r="AC60" s="125" t="s">
        <v>218</v>
      </c>
      <c r="AD60" s="137" t="s">
        <v>215</v>
      </c>
      <c r="AE60" s="109">
        <v>8</v>
      </c>
      <c r="AF60" s="109">
        <v>8</v>
      </c>
      <c r="AK60" s="113"/>
      <c r="AL60" s="113"/>
      <c r="AN60" s="116"/>
      <c r="AO60" s="116"/>
    </row>
    <row r="61" spans="1:41" s="5" customFormat="1" ht="12" customHeight="1">
      <c r="A61" s="24">
        <v>54</v>
      </c>
      <c r="B61" s="24">
        <v>54</v>
      </c>
      <c r="C61" s="25">
        <f t="shared" si="7"/>
        <v>0.5763888888888886</v>
      </c>
      <c r="D61" s="25">
        <f t="shared" si="2"/>
        <v>0.5902777777777775</v>
      </c>
      <c r="E61" s="26">
        <f t="shared" si="3"/>
        <v>0</v>
      </c>
      <c r="F61" s="27"/>
      <c r="G61" s="28">
        <v>51</v>
      </c>
      <c r="H61" s="39">
        <v>0.013888888888888888</v>
      </c>
      <c r="I61" s="29">
        <f t="shared" si="4"/>
        <v>0.6180555555555552</v>
      </c>
      <c r="J61" s="30">
        <f t="shared" si="5"/>
        <v>0.645833333333333</v>
      </c>
      <c r="K61" s="31" t="s">
        <v>42</v>
      </c>
      <c r="L61" s="103"/>
      <c r="M61" s="126">
        <f>AE61</f>
        <v>13</v>
      </c>
      <c r="N61" s="143"/>
      <c r="O61" s="130">
        <v>15</v>
      </c>
      <c r="P61" s="32" t="s">
        <v>110</v>
      </c>
      <c r="Q61" s="32" t="s">
        <v>5</v>
      </c>
      <c r="R61" s="32"/>
      <c r="S61" s="32" t="s">
        <v>3</v>
      </c>
      <c r="T61" s="77">
        <f>SUM(M$3:M61)</f>
        <v>592</v>
      </c>
      <c r="U61" s="124">
        <f t="shared" si="8"/>
        <v>117</v>
      </c>
      <c r="V61" s="77">
        <f>SUM(U$3:U61)</f>
        <v>3126</v>
      </c>
      <c r="W61" s="72">
        <v>15</v>
      </c>
      <c r="X61" s="27">
        <f>SUM(W$3:W62)</f>
        <v>510</v>
      </c>
      <c r="Y61" s="35">
        <v>135</v>
      </c>
      <c r="Z61" s="35">
        <f>SUM(Y$3:Y62)</f>
        <v>2660</v>
      </c>
      <c r="AA61" s="36"/>
      <c r="AB61" s="36">
        <f t="shared" si="6"/>
      </c>
      <c r="AC61" s="125" t="s">
        <v>220</v>
      </c>
      <c r="AD61" s="137" t="s">
        <v>219</v>
      </c>
      <c r="AE61" s="109">
        <v>13</v>
      </c>
      <c r="AF61" s="109">
        <v>13</v>
      </c>
      <c r="AK61" s="113"/>
      <c r="AL61" s="113"/>
      <c r="AN61" s="116"/>
      <c r="AO61" s="116"/>
    </row>
    <row r="62" spans="1:41" s="5" customFormat="1" ht="12" customHeight="1">
      <c r="A62" s="24">
        <v>55</v>
      </c>
      <c r="B62" s="24">
        <v>55</v>
      </c>
      <c r="C62" s="25">
        <f>I62-(1/24)-E62</f>
        <v>0.5763888888888886</v>
      </c>
      <c r="D62" s="25">
        <f t="shared" si="2"/>
        <v>0.5902777777777775</v>
      </c>
      <c r="E62" s="26">
        <f>IF(M62&gt;$AJ$3,(1/4)/24,0)</f>
        <v>0</v>
      </c>
      <c r="F62" s="27"/>
      <c r="G62" s="28">
        <v>50</v>
      </c>
      <c r="H62" s="39"/>
      <c r="I62" s="29">
        <f t="shared" si="4"/>
        <v>0.6180555555555552</v>
      </c>
      <c r="J62" s="30">
        <f t="shared" si="5"/>
        <v>0.645833333333333</v>
      </c>
      <c r="K62" s="31" t="s">
        <v>55</v>
      </c>
      <c r="L62" s="118"/>
      <c r="M62" s="126">
        <f>AE62</f>
        <v>9</v>
      </c>
      <c r="N62" s="143">
        <f>SUM(M61:M62)/3</f>
        <v>7.333333333333333</v>
      </c>
      <c r="O62" s="132">
        <v>7</v>
      </c>
      <c r="P62" s="32" t="s">
        <v>110</v>
      </c>
      <c r="Q62" s="32" t="s">
        <v>6</v>
      </c>
      <c r="R62" s="32"/>
      <c r="S62" s="32" t="s">
        <v>3</v>
      </c>
      <c r="T62" s="77">
        <f>SUM(M$3:M62)</f>
        <v>601</v>
      </c>
      <c r="U62" s="124">
        <f t="shared" si="8"/>
        <v>81</v>
      </c>
      <c r="V62" s="77">
        <f>SUM(U$3:U62)</f>
        <v>3207</v>
      </c>
      <c r="W62" s="27">
        <v>7</v>
      </c>
      <c r="X62" s="27">
        <f>SUM(W$3:W62)</f>
        <v>510</v>
      </c>
      <c r="Y62" s="35">
        <v>63</v>
      </c>
      <c r="Z62" s="35">
        <f>SUM(Y$3:Y62)</f>
        <v>2660</v>
      </c>
      <c r="AA62" s="36"/>
      <c r="AB62" s="36">
        <f t="shared" si="6"/>
      </c>
      <c r="AC62" s="125" t="s">
        <v>224</v>
      </c>
      <c r="AD62" s="137" t="s">
        <v>221</v>
      </c>
      <c r="AE62" s="109">
        <v>9</v>
      </c>
      <c r="AF62" s="109">
        <v>9</v>
      </c>
      <c r="AH62" s="42"/>
      <c r="AK62" s="113"/>
      <c r="AL62" s="113"/>
      <c r="AN62" s="116"/>
      <c r="AO62" s="116"/>
    </row>
    <row r="63" spans="21:28" ht="17.25" customHeight="1">
      <c r="U63" s="79"/>
      <c r="W63" s="74"/>
      <c r="X63" s="74"/>
      <c r="Y63" s="9"/>
      <c r="Z63" s="9"/>
      <c r="AA63" s="4"/>
      <c r="AB63" s="4"/>
    </row>
    <row r="64" spans="1:41" s="14" customFormat="1" ht="17.25" customHeight="1">
      <c r="A64" s="13"/>
      <c r="B64" s="13"/>
      <c r="C64" s="51"/>
      <c r="D64" s="51"/>
      <c r="E64" s="51"/>
      <c r="G64" s="52" t="s">
        <v>60</v>
      </c>
      <c r="H64" s="53"/>
      <c r="I64" s="53"/>
      <c r="J64" s="54"/>
      <c r="K64" s="55"/>
      <c r="L64" s="55"/>
      <c r="M64" s="113"/>
      <c r="N64" s="145"/>
      <c r="O64" s="133"/>
      <c r="P64" s="56"/>
      <c r="Q64" s="56"/>
      <c r="R64" s="13"/>
      <c r="S64" s="13"/>
      <c r="T64" s="80"/>
      <c r="U64" s="81"/>
      <c r="V64" s="80"/>
      <c r="W64" s="70"/>
      <c r="X64" s="70"/>
      <c r="Y64" s="57"/>
      <c r="Z64" s="57"/>
      <c r="AA64" s="38"/>
      <c r="AB64" s="38"/>
      <c r="AF64" s="14">
        <f>SUM(AD3:AD62)</f>
        <v>0</v>
      </c>
      <c r="AK64" s="13"/>
      <c r="AL64" s="13"/>
      <c r="AN64" s="117"/>
      <c r="AO64" s="117"/>
    </row>
    <row r="65" spans="1:41" s="14" customFormat="1" ht="17.25" customHeight="1">
      <c r="A65" s="13"/>
      <c r="B65" s="13"/>
      <c r="C65" s="51"/>
      <c r="D65" s="51" t="s">
        <v>18</v>
      </c>
      <c r="E65" s="58">
        <f>T$42/(T$61)</f>
        <v>0.6013513513513513</v>
      </c>
      <c r="G65" s="59">
        <f>199/350</f>
        <v>0.5685714285714286</v>
      </c>
      <c r="H65" s="53"/>
      <c r="I65" s="53"/>
      <c r="J65" s="54"/>
      <c r="M65" s="113"/>
      <c r="N65" s="145"/>
      <c r="O65" s="13"/>
      <c r="P65" s="56"/>
      <c r="Q65" s="13"/>
      <c r="R65" s="13"/>
      <c r="S65" s="13"/>
      <c r="T65" s="80"/>
      <c r="U65" s="81"/>
      <c r="V65" s="80"/>
      <c r="W65" s="70"/>
      <c r="X65" s="70"/>
      <c r="Y65" s="60"/>
      <c r="Z65" s="60"/>
      <c r="AA65" s="38"/>
      <c r="AB65" s="38"/>
      <c r="AK65" s="13"/>
      <c r="AL65" s="13"/>
      <c r="AN65" s="80"/>
      <c r="AO65" s="80"/>
    </row>
    <row r="66" spans="1:41" s="14" customFormat="1" ht="17.25" customHeight="1">
      <c r="A66" s="13"/>
      <c r="B66" s="13"/>
      <c r="C66" s="51"/>
      <c r="D66" s="51" t="s">
        <v>19</v>
      </c>
      <c r="E66" s="58">
        <f>V$42/(V$61)</f>
        <v>0.48240563019833654</v>
      </c>
      <c r="G66" s="59">
        <f>906/2031</f>
        <v>0.4460856720827179</v>
      </c>
      <c r="H66" s="53"/>
      <c r="I66" s="53"/>
      <c r="J66" s="54"/>
      <c r="K66" s="67" t="s">
        <v>226</v>
      </c>
      <c r="L66" s="98"/>
      <c r="M66" s="136">
        <f>SUM(M3:M62)</f>
        <v>601</v>
      </c>
      <c r="N66" s="146"/>
      <c r="O66" s="33"/>
      <c r="P66" s="33"/>
      <c r="Q66" s="33"/>
      <c r="R66" s="33"/>
      <c r="S66" s="33"/>
      <c r="T66" s="120">
        <f>(M66-W68)/W68</f>
        <v>0.1784313725490196</v>
      </c>
      <c r="U66" s="62"/>
      <c r="V66" s="80"/>
      <c r="W66" s="70"/>
      <c r="X66" s="70"/>
      <c r="Y66" s="60"/>
      <c r="Z66" s="60"/>
      <c r="AA66" s="38"/>
      <c r="AB66" s="38"/>
      <c r="AK66" s="13"/>
      <c r="AL66" s="13"/>
      <c r="AN66" s="80"/>
      <c r="AO66" s="80"/>
    </row>
    <row r="67" spans="1:41" s="14" customFormat="1" ht="17.25" customHeight="1">
      <c r="A67" s="13"/>
      <c r="B67" s="13"/>
      <c r="C67" s="51"/>
      <c r="D67" s="51" t="s">
        <v>82</v>
      </c>
      <c r="E67" s="58">
        <f>(T$61-T$42)/(T$61)</f>
        <v>0.39864864864864863</v>
      </c>
      <c r="G67" s="13">
        <f>COUNT(X3:X47)</f>
        <v>43</v>
      </c>
      <c r="H67" s="53"/>
      <c r="I67" s="53"/>
      <c r="J67" s="54"/>
      <c r="K67" s="62" t="s">
        <v>227</v>
      </c>
      <c r="L67" s="99"/>
      <c r="M67" s="127"/>
      <c r="N67" s="147"/>
      <c r="O67" s="61"/>
      <c r="P67" s="61"/>
      <c r="Q67" s="61"/>
      <c r="R67" s="61"/>
      <c r="S67" s="61"/>
      <c r="T67" s="62"/>
      <c r="U67" s="155">
        <f>SUM(U3:U62)</f>
        <v>3207</v>
      </c>
      <c r="V67" s="121">
        <f>(U67-Y69)/Y69</f>
        <v>0.2056390977443609</v>
      </c>
      <c r="W67" s="70"/>
      <c r="X67" s="70"/>
      <c r="Y67" s="60"/>
      <c r="Z67" s="60"/>
      <c r="AA67" s="38"/>
      <c r="AB67" s="38"/>
      <c r="AK67" s="13"/>
      <c r="AL67" s="13"/>
      <c r="AN67" s="80"/>
      <c r="AO67" s="80"/>
    </row>
    <row r="68" spans="1:41" s="14" customFormat="1" ht="17.25" customHeight="1">
      <c r="A68" s="13"/>
      <c r="B68" s="13"/>
      <c r="C68" s="51"/>
      <c r="D68" s="51" t="s">
        <v>81</v>
      </c>
      <c r="E68" s="58">
        <f>(V$61-V$42)/(V$61)</f>
        <v>0.5175943698016635</v>
      </c>
      <c r="G68" s="13">
        <f>COUNT(X18:X62)</f>
        <v>44</v>
      </c>
      <c r="H68" s="53"/>
      <c r="I68" s="53"/>
      <c r="J68" s="54"/>
      <c r="K68" s="68" t="s">
        <v>228</v>
      </c>
      <c r="L68" s="100"/>
      <c r="M68" s="69"/>
      <c r="N68" s="148"/>
      <c r="O68" s="134"/>
      <c r="P68" s="69"/>
      <c r="Q68" s="69"/>
      <c r="R68" s="69"/>
      <c r="S68" s="69"/>
      <c r="T68" s="82"/>
      <c r="U68" s="82"/>
      <c r="V68" s="82"/>
      <c r="W68" s="69">
        <f>SUM(W3:W62)</f>
        <v>510</v>
      </c>
      <c r="X68" s="70"/>
      <c r="Y68" s="60"/>
      <c r="Z68" s="60"/>
      <c r="AK68" s="13"/>
      <c r="AL68" s="13"/>
      <c r="AN68" s="80"/>
      <c r="AO68" s="80"/>
    </row>
    <row r="69" spans="1:41" s="14" customFormat="1" ht="17.25" customHeight="1">
      <c r="A69" s="13"/>
      <c r="B69" s="13"/>
      <c r="C69" s="51"/>
      <c r="D69" s="51" t="s">
        <v>20</v>
      </c>
      <c r="E69" s="51">
        <f>COUNT(M3:M62)</f>
        <v>59</v>
      </c>
      <c r="G69" s="13">
        <f>G68+G67</f>
        <v>87</v>
      </c>
      <c r="H69" s="53"/>
      <c r="I69" s="53"/>
      <c r="J69" s="54"/>
      <c r="K69" s="64" t="s">
        <v>229</v>
      </c>
      <c r="L69" s="101"/>
      <c r="M69" s="128"/>
      <c r="N69" s="149"/>
      <c r="O69" s="135"/>
      <c r="P69" s="63"/>
      <c r="Q69" s="65"/>
      <c r="R69" s="65"/>
      <c r="S69" s="65"/>
      <c r="T69" s="83"/>
      <c r="U69" s="83"/>
      <c r="V69" s="83"/>
      <c r="W69" s="66"/>
      <c r="X69" s="66"/>
      <c r="Y69" s="66">
        <f>SUM(Y3:Y62)</f>
        <v>2660</v>
      </c>
      <c r="Z69" s="66"/>
      <c r="AK69" s="13"/>
      <c r="AL69" s="13"/>
      <c r="AN69" s="80"/>
      <c r="AO69" s="80"/>
    </row>
  </sheetData>
  <sheetProtection/>
  <autoFilter ref="P2:S62"/>
  <mergeCells count="3">
    <mergeCell ref="AA2:AB2"/>
    <mergeCell ref="I1:K1"/>
    <mergeCell ref="M1:V1"/>
  </mergeCells>
  <conditionalFormatting sqref="E3:E62">
    <cfRule type="cellIs" priority="1" dxfId="0" operator="notEqual" stopIfTrue="1">
      <formula>0</formula>
    </cfRule>
  </conditionalFormatting>
  <hyperlinks>
    <hyperlink ref="AD3" r:id="rId1" display="https://www.regattacentral.com/regatta/entries/competitors.jsp?job_id=1698&amp;event_id=1"/>
    <hyperlink ref="AD4" r:id="rId2" display="https://www.regattacentral.com/regatta/entries/competitors.jsp?job_id=1698&amp;event_id=2"/>
    <hyperlink ref="AD5" r:id="rId3" display="https://www.regattacentral.com/regatta/entries/competitors.jsp?job_id=1698&amp;event_id=3"/>
    <hyperlink ref="AD6" r:id="rId4" display="https://www.regattacentral.com/regatta/entries/competitors.jsp?job_id=1698&amp;event_id=4"/>
    <hyperlink ref="AD7" r:id="rId5" display="https://www.regattacentral.com/regatta/entries/competitors.jsp?job_id=1698&amp;event_id=5"/>
    <hyperlink ref="AD8" r:id="rId6" display="https://www.regattacentral.com/regatta/entries/competitors.jsp?job_id=1698&amp;event_id=6"/>
    <hyperlink ref="AD9" r:id="rId7" display="https://www.regattacentral.com/regatta/entries/competitors.jsp?job_id=1698&amp;event_id=7"/>
    <hyperlink ref="AD10" r:id="rId8" display="https://www.regattacentral.com/regatta/entries/competitors.jsp?job_id=1698&amp;event_id=8"/>
    <hyperlink ref="AD11" r:id="rId9" display="https://www.regattacentral.com/regatta/entries/competitors.jsp?job_id=1698&amp;event_id=56"/>
    <hyperlink ref="AD12" r:id="rId10" display="https://www.regattacentral.com/regatta/entries/competitors.jsp?job_id=1698&amp;event_id=57"/>
    <hyperlink ref="AD13" r:id="rId11" display="https://www.regattacentral.com/regatta/entries/competitors.jsp?job_id=1698&amp;event_id=59"/>
    <hyperlink ref="AD14" r:id="rId12" display="https://www.regattacentral.com/regatta/entries/competitors.jsp?job_id=1698&amp;event_id=9"/>
    <hyperlink ref="AD15" r:id="rId13" display="https://www.regattacentral.com/regatta/entries/competitors.jsp?job_id=1698&amp;event_id=52"/>
    <hyperlink ref="AD16" r:id="rId14" display="https://www.regattacentral.com/regatta/entries/competitors.jsp?job_id=1698&amp;event_id=10"/>
    <hyperlink ref="AD17" r:id="rId15" display="https://www.regattacentral.com/regatta/entries/competitors.jsp?job_id=1698&amp;event_id=11"/>
    <hyperlink ref="AD18" r:id="rId16" display="https://www.regattacentral.com/regatta/entries/competitors.jsp?job_id=1698&amp;event_id=12"/>
    <hyperlink ref="AD19" r:id="rId17" display="https://www.regattacentral.com/regatta/entries/competitors.jsp?job_id=1698&amp;event_id=13"/>
    <hyperlink ref="AD20" r:id="rId18" display="https://www.regattacentral.com/regatta/entries/competitors.jsp?job_id=1698&amp;event_id=58"/>
    <hyperlink ref="AD21" r:id="rId19" display="https://www.regattacentral.com/regatta/entries/competitors.jsp?job_id=1698&amp;event_id=17"/>
    <hyperlink ref="AD22" r:id="rId20" display="https://www.regattacentral.com/regatta/entries/competitors.jsp?job_id=1698&amp;event_id=15"/>
    <hyperlink ref="AD23" r:id="rId21" display="https://www.regattacentral.com/regatta/entries/competitors.jsp?job_id=1698&amp;event_id=16"/>
    <hyperlink ref="AD24" r:id="rId22" display="https://www.regattacentral.com/regatta/entries/competitors.jsp?job_id=1698&amp;event_id=14"/>
    <hyperlink ref="AD25" r:id="rId23" display="https://www.regattacentral.com/regatta/entries/competitors.jsp?job_id=1698&amp;event_id=18"/>
    <hyperlink ref="AD26" r:id="rId24" display="https://www.regattacentral.com/regatta/entries/competitors.jsp?job_id=1698&amp;event_id=19"/>
    <hyperlink ref="AD27" r:id="rId25" display="https://www.regattacentral.com/regatta/entries/competitors.jsp?job_id=1698&amp;event_id=20"/>
    <hyperlink ref="AD28" r:id="rId26" display="https://www.regattacentral.com/regatta/entries/competitors.jsp?job_id=1698&amp;event_id=21"/>
    <hyperlink ref="AD29" r:id="rId27" display="https://www.regattacentral.com/regatta/entries/competitors.jsp?job_id=1698&amp;event_id=22"/>
    <hyperlink ref="AD30" r:id="rId28" display="https://www.regattacentral.com/regatta/entries/competitors.jsp?job_id=1698&amp;event_id=23"/>
    <hyperlink ref="AD31" r:id="rId29" display="https://www.regattacentral.com/regatta/entries/competitors.jsp?job_id=1698&amp;event_id=45"/>
    <hyperlink ref="AD32" r:id="rId30" display="https://www.regattacentral.com/regatta/entries/competitors.jsp?job_id=1698&amp;event_id=26"/>
    <hyperlink ref="AD33" r:id="rId31" display="https://www.regattacentral.com/regatta/entries/competitors.jsp?job_id=1698&amp;event_id=27"/>
    <hyperlink ref="AD35" r:id="rId32" display="https://www.regattacentral.com/regatta/entries/competitors.jsp?job_id=1698&amp;event_id=29"/>
  </hyperlinks>
  <printOptions/>
  <pageMargins left="0.2" right="0.23" top="0.17" bottom="0.2" header="0.5" footer="0.2"/>
  <pageSetup fitToHeight="1" fitToWidth="1" horizontalDpi="600" verticalDpi="600" orientation="landscape" scale="45" r:id="rId35"/>
  <ignoredErrors>
    <ignoredError sqref="X4" formulaRange="1"/>
  </ignoredErrors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Vacuum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Varian Vacuum Technologies</dc:creator>
  <cp:keywords/>
  <dc:description/>
  <cp:lastModifiedBy>Carl Popolo</cp:lastModifiedBy>
  <cp:lastPrinted>2009-08-19T20:01:25Z</cp:lastPrinted>
  <dcterms:created xsi:type="dcterms:W3CDTF">2006-08-28T18:33:29Z</dcterms:created>
  <dcterms:modified xsi:type="dcterms:W3CDTF">2010-09-29T17:09:37Z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